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Onedrive\Nguyen Thanh Hung\Tai lieu Quan ly nha truong\To chuc\To chuc nhan su\"/>
    </mc:Choice>
  </mc:AlternateContent>
  <bookViews>
    <workbookView xWindow="-120" yWindow="-120" windowWidth="20730" windowHeight="11160" tabRatio="761"/>
  </bookViews>
  <sheets>
    <sheet name="NSTonghop" sheetId="12" r:id="rId1"/>
    <sheet name="TKeTH" sheetId="21" r:id="rId2"/>
    <sheet name="TLuongTH" sheetId="14" r:id="rId3"/>
    <sheet name="TNNG" sheetId="9" r:id="rId4"/>
    <sheet name="Nghihuu" sheetId="3" r:id="rId5"/>
    <sheet name="NShientai" sheetId="32" r:id="rId6"/>
    <sheet name="Dangchung" sheetId="26" r:id="rId7"/>
    <sheet name="Danghientai" sheetId="29" r:id="rId8"/>
    <sheet name="KHPTrien" sheetId="35" r:id="rId9"/>
    <sheet name="DulieuXDKH" sheetId="34" r:id="rId10"/>
    <sheet name="Nhucauvieclam" sheetId="38" r:id="rId11"/>
    <sheet name="KHGV(TKhao)" sheetId="37" r:id="rId12"/>
  </sheets>
  <definedNames>
    <definedName name="_xlnm._FilterDatabase" localSheetId="6" hidden="1">Dangchung!$B$7:$AK$107</definedName>
    <definedName name="_xlnm._FilterDatabase" localSheetId="7" hidden="1">Danghientai!$B$7:$AK$107</definedName>
    <definedName name="_xlnm._FilterDatabase" localSheetId="9" hidden="1">DulieuXDKH!$B$4:$AJ$105</definedName>
    <definedName name="_xlnm._FilterDatabase" localSheetId="5" hidden="1">NShientai!$B$7:$AT$107</definedName>
    <definedName name="_xlnm._FilterDatabase" localSheetId="0" hidden="1">NSTonghop!$B$7:$AT$107</definedName>
    <definedName name="_xlnm._FilterDatabase" localSheetId="4" hidden="1">Nghihuu!$I$7:$X$7</definedName>
    <definedName name="_xlnm._FilterDatabase" localSheetId="3" hidden="1">TNNG!$I$6:$T$107</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30" i="14" l="1"/>
  <c r="U30" i="14"/>
  <c r="V30" i="14"/>
  <c r="W30" i="14"/>
  <c r="X30" i="14"/>
  <c r="Z30" i="14"/>
  <c r="AA30" i="14"/>
  <c r="AB30" i="14"/>
  <c r="AC30" i="14"/>
  <c r="AD30" i="14"/>
  <c r="AF30" i="14"/>
  <c r="AG30" i="14"/>
  <c r="G35" i="9"/>
  <c r="G33" i="9" l="1"/>
  <c r="H33" i="9"/>
  <c r="G29" i="9"/>
  <c r="H29" i="9"/>
  <c r="G33" i="14"/>
  <c r="R82" i="14" l="1"/>
  <c r="G10" i="14" l="1"/>
  <c r="G11" i="14"/>
  <c r="G12" i="14"/>
  <c r="G13" i="14"/>
  <c r="G14" i="14"/>
  <c r="G15" i="14"/>
  <c r="G16" i="14"/>
  <c r="G17" i="14"/>
  <c r="G18" i="14"/>
  <c r="G19" i="14"/>
  <c r="G20" i="14"/>
  <c r="G21" i="14"/>
  <c r="G22" i="14"/>
  <c r="G23" i="14"/>
  <c r="G24" i="14"/>
  <c r="G25" i="14"/>
  <c r="G26" i="14"/>
  <c r="G27" i="14"/>
  <c r="G28" i="14"/>
  <c r="G29" i="14"/>
  <c r="G31" i="14"/>
  <c r="G32"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9" i="14"/>
  <c r="G8" i="14"/>
  <c r="R28" i="14"/>
  <c r="N10" i="14"/>
  <c r="N11" i="14"/>
  <c r="N12" i="14"/>
  <c r="N13" i="14"/>
  <c r="N14" i="14"/>
  <c r="N15" i="14"/>
  <c r="N16" i="14"/>
  <c r="N17" i="14"/>
  <c r="N18" i="14"/>
  <c r="N19" i="14"/>
  <c r="N20" i="14"/>
  <c r="N21" i="14"/>
  <c r="N22" i="14"/>
  <c r="N23" i="14"/>
  <c r="N24" i="14"/>
  <c r="N25" i="14"/>
  <c r="N26" i="14"/>
  <c r="N27" i="14"/>
  <c r="N28" i="14"/>
  <c r="N29" i="14"/>
  <c r="N30" i="14"/>
  <c r="N31" i="14"/>
  <c r="N32" i="14"/>
  <c r="N33" i="14"/>
  <c r="N34" i="14"/>
  <c r="N35" i="14"/>
  <c r="N36" i="14"/>
  <c r="N37" i="14"/>
  <c r="N38" i="14"/>
  <c r="N39" i="14"/>
  <c r="N40" i="14"/>
  <c r="N41" i="14"/>
  <c r="N42" i="14"/>
  <c r="N43" i="14"/>
  <c r="N44" i="14"/>
  <c r="N45" i="14"/>
  <c r="N46" i="14"/>
  <c r="N47" i="14"/>
  <c r="N48" i="14"/>
  <c r="N49" i="14"/>
  <c r="N50" i="14"/>
  <c r="N51" i="14"/>
  <c r="N52" i="14"/>
  <c r="N53" i="14"/>
  <c r="N54" i="14"/>
  <c r="N55" i="14"/>
  <c r="N56" i="14"/>
  <c r="N57" i="14"/>
  <c r="N58" i="14"/>
  <c r="N59" i="14"/>
  <c r="N60" i="14"/>
  <c r="N61" i="14"/>
  <c r="N62" i="14"/>
  <c r="N63" i="14"/>
  <c r="N64" i="14"/>
  <c r="N65" i="14"/>
  <c r="N66" i="14"/>
  <c r="N67" i="14"/>
  <c r="N68" i="14"/>
  <c r="N69" i="14"/>
  <c r="N70" i="14"/>
  <c r="N71" i="14"/>
  <c r="N72" i="14"/>
  <c r="N73" i="14"/>
  <c r="N74" i="14"/>
  <c r="N75" i="14"/>
  <c r="N76" i="14"/>
  <c r="N77" i="14"/>
  <c r="N78" i="14"/>
  <c r="N79" i="14"/>
  <c r="N80" i="14"/>
  <c r="N81" i="14"/>
  <c r="N82" i="14"/>
  <c r="N83" i="14"/>
  <c r="N84" i="14"/>
  <c r="N85" i="14"/>
  <c r="N86" i="14"/>
  <c r="N87" i="14"/>
  <c r="N88" i="14"/>
  <c r="N89" i="14"/>
  <c r="N90" i="14"/>
  <c r="N91" i="14"/>
  <c r="N92" i="14"/>
  <c r="N93" i="14"/>
  <c r="N94" i="14"/>
  <c r="N95" i="14"/>
  <c r="N96" i="14"/>
  <c r="N97" i="14"/>
  <c r="N98" i="14"/>
  <c r="N99" i="14"/>
  <c r="N100" i="14"/>
  <c r="N101" i="14"/>
  <c r="N102" i="14"/>
  <c r="N103" i="14"/>
  <c r="N104" i="14"/>
  <c r="N105" i="14"/>
  <c r="N106" i="14"/>
  <c r="N9" i="14"/>
  <c r="N8" i="14"/>
  <c r="F1" i="21" l="1"/>
  <c r="H1" i="21" s="1"/>
  <c r="F1" i="14"/>
  <c r="H1" i="14" s="1"/>
  <c r="F1" i="9"/>
  <c r="H1" i="9" s="1"/>
  <c r="F1" i="3"/>
  <c r="H1" i="3" s="1"/>
  <c r="F1" i="32"/>
  <c r="H1" i="32" s="1"/>
  <c r="F1" i="26"/>
  <c r="H1" i="26" s="1"/>
  <c r="F1" i="29"/>
  <c r="H1" i="29" s="1"/>
  <c r="F1" i="12"/>
  <c r="H1" i="12" s="1"/>
  <c r="R16" i="14"/>
  <c r="I1" i="12" l="1"/>
  <c r="I1" i="26"/>
  <c r="I1" i="3"/>
  <c r="I1" i="14"/>
  <c r="I1" i="29"/>
  <c r="I1" i="32"/>
  <c r="I1" i="9"/>
  <c r="I1" i="21"/>
  <c r="E36" i="38"/>
  <c r="F36" i="38"/>
  <c r="G36" i="38"/>
  <c r="H36" i="38"/>
  <c r="I36" i="38"/>
  <c r="J36" i="38"/>
  <c r="K36" i="38"/>
  <c r="L36" i="38"/>
  <c r="M36" i="38"/>
  <c r="N36" i="38"/>
  <c r="O36" i="38"/>
  <c r="P36" i="38"/>
  <c r="Q36" i="38"/>
  <c r="R36" i="38"/>
  <c r="S36" i="38"/>
  <c r="T36" i="38"/>
  <c r="U36" i="38"/>
  <c r="E37" i="38"/>
  <c r="F37" i="38"/>
  <c r="G37" i="38"/>
  <c r="H37" i="38"/>
  <c r="I37" i="38"/>
  <c r="J37" i="38"/>
  <c r="K37" i="38"/>
  <c r="L37" i="38"/>
  <c r="M37" i="38"/>
  <c r="N37" i="38"/>
  <c r="O37" i="38"/>
  <c r="P37" i="38"/>
  <c r="Q37" i="38"/>
  <c r="R37" i="38"/>
  <c r="S37" i="38"/>
  <c r="T37" i="38"/>
  <c r="U37" i="38"/>
  <c r="S34" i="38"/>
  <c r="U34" i="38"/>
  <c r="T34" i="38"/>
  <c r="R34" i="38"/>
  <c r="Q34" i="38"/>
  <c r="P34" i="38"/>
  <c r="O34" i="38"/>
  <c r="N34" i="38"/>
  <c r="M34" i="38"/>
  <c r="L34" i="38"/>
  <c r="K34" i="38"/>
  <c r="J34" i="38"/>
  <c r="I34" i="38"/>
  <c r="H34" i="38"/>
  <c r="G34" i="38"/>
  <c r="F34" i="38"/>
  <c r="E34" i="38"/>
  <c r="E31" i="38"/>
  <c r="F31" i="38"/>
  <c r="G31" i="38"/>
  <c r="H31" i="38"/>
  <c r="I31" i="38"/>
  <c r="J31" i="38"/>
  <c r="K31" i="38"/>
  <c r="L31" i="38"/>
  <c r="M31" i="38"/>
  <c r="N31" i="38"/>
  <c r="O31" i="38"/>
  <c r="P31" i="38"/>
  <c r="Q31" i="38"/>
  <c r="R31" i="38"/>
  <c r="S31" i="38"/>
  <c r="T31" i="38"/>
  <c r="U31" i="38"/>
  <c r="E32" i="38"/>
  <c r="F32" i="38"/>
  <c r="G32" i="38"/>
  <c r="H32" i="38"/>
  <c r="I32" i="38"/>
  <c r="J32" i="38"/>
  <c r="K32" i="38"/>
  <c r="L32" i="38"/>
  <c r="M32" i="38"/>
  <c r="N32" i="38"/>
  <c r="O32" i="38"/>
  <c r="P32" i="38"/>
  <c r="Q32" i="38"/>
  <c r="R32" i="38"/>
  <c r="S32" i="38"/>
  <c r="T32" i="38"/>
  <c r="U32" i="38"/>
  <c r="U29" i="38"/>
  <c r="T29" i="38"/>
  <c r="S29" i="38"/>
  <c r="R29" i="38"/>
  <c r="Q29" i="38"/>
  <c r="P29" i="38"/>
  <c r="O29" i="38"/>
  <c r="N29" i="38"/>
  <c r="M29" i="38"/>
  <c r="L29" i="38"/>
  <c r="K29" i="38"/>
  <c r="J29" i="38"/>
  <c r="I29" i="38"/>
  <c r="H29" i="38"/>
  <c r="G29" i="38"/>
  <c r="F29" i="38"/>
  <c r="E29" i="38"/>
  <c r="B29" i="37" l="1"/>
  <c r="B28" i="37"/>
  <c r="B27" i="37"/>
  <c r="B26" i="37"/>
  <c r="B25" i="37"/>
  <c r="B24" i="37"/>
  <c r="B20" i="37"/>
  <c r="C20" i="37"/>
  <c r="D20" i="37"/>
  <c r="E20" i="37"/>
  <c r="F20" i="37"/>
  <c r="G20" i="37"/>
  <c r="H20" i="37"/>
  <c r="I20" i="37"/>
  <c r="J20" i="37"/>
  <c r="K20" i="37"/>
  <c r="L20" i="37"/>
  <c r="M20" i="37"/>
  <c r="N20" i="37"/>
  <c r="O20" i="37"/>
  <c r="P20" i="37"/>
  <c r="Q20" i="37"/>
  <c r="R20" i="37"/>
  <c r="F46" i="38"/>
  <c r="G46" i="38"/>
  <c r="H46" i="38"/>
  <c r="I46" i="38"/>
  <c r="J46" i="38"/>
  <c r="K46" i="38"/>
  <c r="L46" i="38"/>
  <c r="E46" i="38"/>
  <c r="F45" i="38"/>
  <c r="G45" i="38"/>
  <c r="H45" i="38"/>
  <c r="I45" i="38"/>
  <c r="J45" i="38"/>
  <c r="K45" i="38"/>
  <c r="L45" i="38"/>
  <c r="E45" i="38"/>
  <c r="G18" i="37"/>
  <c r="H18" i="37"/>
  <c r="I18" i="37"/>
  <c r="J18" i="37"/>
  <c r="K18" i="37"/>
  <c r="F18" i="37"/>
  <c r="R18" i="37"/>
  <c r="Q18" i="37"/>
  <c r="P18" i="37"/>
  <c r="O18" i="37"/>
  <c r="N18" i="37"/>
  <c r="M18" i="37"/>
  <c r="L18" i="37"/>
  <c r="C18" i="37"/>
  <c r="D18" i="37"/>
  <c r="E18" i="37"/>
  <c r="B18" i="37"/>
  <c r="U25" i="38"/>
  <c r="T25" i="38"/>
  <c r="S25" i="38"/>
  <c r="R25" i="38"/>
  <c r="Q25" i="38"/>
  <c r="P25" i="38"/>
  <c r="O25" i="38"/>
  <c r="N25" i="38"/>
  <c r="M25" i="38"/>
  <c r="L25" i="38"/>
  <c r="K25" i="38"/>
  <c r="J25" i="38"/>
  <c r="I25" i="38"/>
  <c r="H25" i="38"/>
  <c r="G25" i="38"/>
  <c r="F25" i="38"/>
  <c r="E25" i="38"/>
  <c r="J15" i="38"/>
  <c r="J35" i="38" l="1"/>
  <c r="J30" i="38"/>
  <c r="K37" i="37"/>
  <c r="K38" i="37"/>
  <c r="K19" i="37"/>
  <c r="D45" i="38"/>
  <c r="D46" i="38"/>
  <c r="B44" i="38"/>
  <c r="AL30" i="34"/>
  <c r="D16" i="38"/>
  <c r="D17" i="38"/>
  <c r="B23" i="37" s="1"/>
  <c r="K36" i="37" l="1"/>
  <c r="F4" i="37"/>
  <c r="R42" i="34"/>
  <c r="J8" i="38" s="1"/>
  <c r="P11" i="37" s="1"/>
  <c r="R41" i="34"/>
  <c r="R40" i="34"/>
  <c r="F8" i="38" s="1"/>
  <c r="H11" i="37" s="1"/>
  <c r="R39" i="34"/>
  <c r="D8" i="38" s="1"/>
  <c r="D11" i="37" s="1"/>
  <c r="L47" i="38"/>
  <c r="D44" i="38"/>
  <c r="D43" i="38"/>
  <c r="D42" i="38"/>
  <c r="D37" i="38"/>
  <c r="D34" i="38"/>
  <c r="U28" i="38"/>
  <c r="T28" i="38"/>
  <c r="S28" i="38"/>
  <c r="R28" i="38"/>
  <c r="Q28" i="38"/>
  <c r="P28" i="38"/>
  <c r="O28" i="38"/>
  <c r="N28" i="38"/>
  <c r="M28" i="38"/>
  <c r="L28" i="38"/>
  <c r="K28" i="38"/>
  <c r="J28" i="38"/>
  <c r="I28" i="38"/>
  <c r="H28" i="38"/>
  <c r="G28" i="38"/>
  <c r="F28" i="38"/>
  <c r="E28" i="38"/>
  <c r="D27" i="38"/>
  <c r="D26" i="38"/>
  <c r="D25" i="38"/>
  <c r="D24" i="38"/>
  <c r="AD18" i="34"/>
  <c r="Z18" i="34"/>
  <c r="Z30" i="34"/>
  <c r="Z31" i="34"/>
  <c r="Z32" i="34"/>
  <c r="Z33" i="34"/>
  <c r="Z34" i="34"/>
  <c r="Z35" i="34"/>
  <c r="R46" i="34"/>
  <c r="Q10" i="37" l="1"/>
  <c r="M10" i="37"/>
  <c r="H8" i="38"/>
  <c r="L11" i="37" s="1"/>
  <c r="E10" i="37"/>
  <c r="I10" i="37"/>
  <c r="D21" i="38"/>
  <c r="D22" i="38"/>
  <c r="E23" i="38"/>
  <c r="G23" i="38"/>
  <c r="I23" i="38"/>
  <c r="K23" i="38"/>
  <c r="P23" i="38"/>
  <c r="R23" i="38"/>
  <c r="T23" i="38"/>
  <c r="D20" i="38"/>
  <c r="N23" i="38"/>
  <c r="F23" i="38"/>
  <c r="H23" i="38"/>
  <c r="J23" i="38"/>
  <c r="O23" i="38"/>
  <c r="Q23" i="38"/>
  <c r="S23" i="38"/>
  <c r="U23" i="38"/>
  <c r="D28" i="38"/>
  <c r="B9" i="37"/>
  <c r="D14" i="38"/>
  <c r="D32" i="38"/>
  <c r="L9" i="38"/>
  <c r="L23" i="38" s="1"/>
  <c r="M9" i="38"/>
  <c r="M23" i="38" s="1"/>
  <c r="J18" i="38"/>
  <c r="L8" i="38" l="1"/>
  <c r="J38" i="38"/>
  <c r="J33" i="38"/>
  <c r="D23" i="38"/>
  <c r="D36" i="38"/>
  <c r="D31" i="38"/>
  <c r="D29" i="38"/>
  <c r="D19" i="38"/>
  <c r="L9" i="35"/>
  <c r="C19" i="35"/>
  <c r="D18" i="35"/>
  <c r="C17" i="35"/>
  <c r="G16" i="35"/>
  <c r="G18" i="35" s="1"/>
  <c r="F16" i="35"/>
  <c r="F18" i="35" s="1"/>
  <c r="E16" i="35"/>
  <c r="E18" i="35" s="1"/>
  <c r="C16" i="35"/>
  <c r="G13" i="35"/>
  <c r="F13" i="35"/>
  <c r="E13" i="35"/>
  <c r="D13" i="35"/>
  <c r="C12" i="35"/>
  <c r="G11" i="35"/>
  <c r="F11" i="35"/>
  <c r="E11" i="35"/>
  <c r="D11" i="35"/>
  <c r="C10" i="35"/>
  <c r="G9" i="35"/>
  <c r="F9" i="35"/>
  <c r="E9" i="35"/>
  <c r="D9" i="35"/>
  <c r="C8" i="35"/>
  <c r="C7" i="35"/>
  <c r="K9" i="35" s="1"/>
  <c r="C9" i="35" l="1"/>
  <c r="C11" i="35"/>
  <c r="F20" i="35"/>
  <c r="I8" i="38"/>
  <c r="L12" i="37"/>
  <c r="M13" i="37" s="1"/>
  <c r="I9" i="35"/>
  <c r="C13" i="35"/>
  <c r="E20" i="35"/>
  <c r="G8" i="38"/>
  <c r="H12" i="37"/>
  <c r="I13" i="37" s="1"/>
  <c r="G20" i="35"/>
  <c r="K8" i="38"/>
  <c r="P12" i="37"/>
  <c r="Q13" i="37" s="1"/>
  <c r="E8" i="38"/>
  <c r="D12" i="37"/>
  <c r="H19" i="35"/>
  <c r="K19" i="35"/>
  <c r="J19" i="35" s="1"/>
  <c r="C18" i="35"/>
  <c r="D20" i="35"/>
  <c r="F9" i="37" l="1"/>
  <c r="E13" i="37"/>
  <c r="C20" i="35"/>
  <c r="R44" i="34"/>
  <c r="M8" i="38"/>
  <c r="B10" i="9"/>
  <c r="C10" i="9"/>
  <c r="D10" i="9" s="1"/>
  <c r="E10" i="9"/>
  <c r="F10" i="9" s="1"/>
  <c r="B11" i="9"/>
  <c r="C11" i="9"/>
  <c r="D11" i="9" s="1"/>
  <c r="E11" i="9"/>
  <c r="F11" i="9" s="1"/>
  <c r="B12" i="9"/>
  <c r="C12" i="9"/>
  <c r="D12" i="9" s="1"/>
  <c r="E12" i="9"/>
  <c r="F12" i="9" s="1"/>
  <c r="B13" i="9"/>
  <c r="C13" i="9"/>
  <c r="D13" i="9" s="1"/>
  <c r="E13" i="9"/>
  <c r="F13" i="9" s="1"/>
  <c r="B14" i="9"/>
  <c r="C14" i="9"/>
  <c r="D14" i="9" s="1"/>
  <c r="E14" i="9"/>
  <c r="F14" i="9" s="1"/>
  <c r="B15" i="9"/>
  <c r="C15" i="9"/>
  <c r="D15" i="9" s="1"/>
  <c r="E15" i="9"/>
  <c r="F15" i="9" s="1"/>
  <c r="A106" i="9"/>
  <c r="E9" i="9"/>
  <c r="F9" i="9" s="1"/>
  <c r="C9" i="9"/>
  <c r="D9" i="9" s="1"/>
  <c r="B9" i="9"/>
  <c r="E8" i="9"/>
  <c r="F8" i="9" s="1"/>
  <c r="C8" i="9"/>
  <c r="D8" i="9" s="1"/>
  <c r="B8" i="9"/>
  <c r="B92" i="3"/>
  <c r="A92" i="3" s="1"/>
  <c r="C92" i="3"/>
  <c r="E92" i="3"/>
  <c r="F92" i="3"/>
  <c r="B93" i="3"/>
  <c r="A93" i="3" s="1"/>
  <c r="C93" i="3"/>
  <c r="E93" i="3"/>
  <c r="F93" i="3"/>
  <c r="B94" i="3"/>
  <c r="A94" i="3" s="1"/>
  <c r="C94" i="3"/>
  <c r="E94" i="3"/>
  <c r="F94" i="3"/>
  <c r="B95" i="3"/>
  <c r="A95" i="3" s="1"/>
  <c r="C95" i="3"/>
  <c r="E95" i="3"/>
  <c r="F95" i="3"/>
  <c r="B96" i="3"/>
  <c r="A96" i="3" s="1"/>
  <c r="C96" i="3"/>
  <c r="E96" i="3"/>
  <c r="F96" i="3"/>
  <c r="B97" i="3"/>
  <c r="A97" i="3" s="1"/>
  <c r="C97" i="3"/>
  <c r="E97" i="3"/>
  <c r="F97" i="3"/>
  <c r="B98" i="3"/>
  <c r="A98" i="3" s="1"/>
  <c r="C98" i="3"/>
  <c r="E98" i="3"/>
  <c r="F98" i="3"/>
  <c r="B99" i="3"/>
  <c r="A99" i="3" s="1"/>
  <c r="C99" i="3"/>
  <c r="E99" i="3"/>
  <c r="F99" i="3"/>
  <c r="B100" i="3"/>
  <c r="A100" i="3" s="1"/>
  <c r="C100" i="3"/>
  <c r="E100" i="3"/>
  <c r="F100" i="3"/>
  <c r="B101" i="3"/>
  <c r="A101" i="3" s="1"/>
  <c r="C101" i="3"/>
  <c r="E101" i="3"/>
  <c r="F101" i="3"/>
  <c r="B102" i="3"/>
  <c r="A102" i="3" s="1"/>
  <c r="C102" i="3"/>
  <c r="E102" i="3"/>
  <c r="F102" i="3"/>
  <c r="B103" i="3"/>
  <c r="A103" i="3" s="1"/>
  <c r="C103" i="3"/>
  <c r="E103" i="3"/>
  <c r="F103" i="3"/>
  <c r="B104" i="3"/>
  <c r="A104" i="3" s="1"/>
  <c r="C104" i="3"/>
  <c r="E104" i="3"/>
  <c r="F104" i="3"/>
  <c r="B105" i="3"/>
  <c r="A105" i="3" s="1"/>
  <c r="C105" i="3"/>
  <c r="E105" i="3"/>
  <c r="F105" i="3"/>
  <c r="B106" i="3"/>
  <c r="A106" i="3" s="1"/>
  <c r="C106" i="3"/>
  <c r="E106" i="3"/>
  <c r="F106" i="3"/>
  <c r="D106" i="32"/>
  <c r="D105" i="32"/>
  <c r="D104" i="32"/>
  <c r="D103" i="32"/>
  <c r="D102" i="32"/>
  <c r="D101" i="32"/>
  <c r="D100" i="32"/>
  <c r="D99" i="32"/>
  <c r="D98" i="32"/>
  <c r="D97" i="32"/>
  <c r="D96" i="32"/>
  <c r="D95" i="32"/>
  <c r="D94" i="32"/>
  <c r="D93" i="32"/>
  <c r="D92" i="32"/>
  <c r="D91" i="32"/>
  <c r="D90" i="32"/>
  <c r="D89" i="32"/>
  <c r="D88" i="32"/>
  <c r="D87" i="32"/>
  <c r="D86" i="32"/>
  <c r="D85" i="32"/>
  <c r="D84" i="32"/>
  <c r="D83" i="32"/>
  <c r="D82" i="32"/>
  <c r="D81" i="32"/>
  <c r="D80" i="32"/>
  <c r="D79" i="32"/>
  <c r="D78" i="32"/>
  <c r="D77" i="32"/>
  <c r="D76" i="32"/>
  <c r="D75" i="32"/>
  <c r="D74" i="32"/>
  <c r="D73" i="32"/>
  <c r="D72" i="32"/>
  <c r="D71" i="32"/>
  <c r="D70" i="32"/>
  <c r="D69" i="32"/>
  <c r="D68" i="32"/>
  <c r="D67" i="32"/>
  <c r="D66" i="32"/>
  <c r="D65" i="32"/>
  <c r="D64" i="32"/>
  <c r="D63" i="32"/>
  <c r="D62" i="32"/>
  <c r="D61" i="32"/>
  <c r="D60" i="32"/>
  <c r="D59" i="32"/>
  <c r="D58" i="32"/>
  <c r="D57" i="32"/>
  <c r="D56" i="32"/>
  <c r="D55" i="32"/>
  <c r="D54" i="32"/>
  <c r="D53" i="32"/>
  <c r="D52" i="32"/>
  <c r="D51" i="32"/>
  <c r="D50" i="32"/>
  <c r="D49" i="32"/>
  <c r="D48" i="32"/>
  <c r="D47" i="32"/>
  <c r="D46" i="32"/>
  <c r="D45" i="32"/>
  <c r="D44" i="32"/>
  <c r="D43" i="32"/>
  <c r="D42" i="32"/>
  <c r="D41" i="32"/>
  <c r="D40" i="32"/>
  <c r="D39" i="32"/>
  <c r="D38" i="32"/>
  <c r="D37" i="32"/>
  <c r="D36" i="32"/>
  <c r="D35" i="32"/>
  <c r="D34" i="32"/>
  <c r="D33" i="32"/>
  <c r="D32" i="32"/>
  <c r="D31" i="32"/>
  <c r="D30" i="32"/>
  <c r="D29" i="32"/>
  <c r="D28" i="32"/>
  <c r="D27" i="32"/>
  <c r="D26" i="32"/>
  <c r="D25" i="32"/>
  <c r="D24" i="32"/>
  <c r="D23" i="32"/>
  <c r="D22" i="32"/>
  <c r="D21" i="32"/>
  <c r="D20" i="32"/>
  <c r="D19" i="32"/>
  <c r="D18" i="32"/>
  <c r="D17" i="32"/>
  <c r="D16" i="32"/>
  <c r="D15" i="32"/>
  <c r="D14" i="32"/>
  <c r="D13" i="32"/>
  <c r="D12" i="32"/>
  <c r="D11" i="32"/>
  <c r="D10" i="32"/>
  <c r="D9" i="32"/>
  <c r="D8" i="32"/>
  <c r="D7" i="34"/>
  <c r="E7" i="34"/>
  <c r="F7" i="34"/>
  <c r="G7" i="34"/>
  <c r="D8" i="34"/>
  <c r="E8" i="34"/>
  <c r="F8" i="34"/>
  <c r="G8" i="34"/>
  <c r="D9" i="34"/>
  <c r="C9" i="34" s="1"/>
  <c r="E9" i="34"/>
  <c r="F9" i="34"/>
  <c r="G9" i="34"/>
  <c r="D10" i="34"/>
  <c r="E10" i="34"/>
  <c r="F10" i="34"/>
  <c r="G10" i="34"/>
  <c r="D11" i="34"/>
  <c r="B11" i="34" s="1"/>
  <c r="E11" i="34"/>
  <c r="F11" i="34"/>
  <c r="G11" i="34"/>
  <c r="D12" i="34"/>
  <c r="E12" i="34"/>
  <c r="F12" i="34"/>
  <c r="G12" i="34"/>
  <c r="D13" i="34"/>
  <c r="C13" i="34" s="1"/>
  <c r="E13" i="34"/>
  <c r="F13" i="34"/>
  <c r="G13" i="34"/>
  <c r="G6" i="34"/>
  <c r="F6" i="34"/>
  <c r="E6" i="34"/>
  <c r="D6" i="34"/>
  <c r="C6" i="34" s="1"/>
  <c r="B9" i="34"/>
  <c r="D99" i="3" l="1"/>
  <c r="G99" i="3" s="1"/>
  <c r="D98" i="3"/>
  <c r="G98" i="3" s="1"/>
  <c r="D97" i="3"/>
  <c r="G97" i="3" s="1"/>
  <c r="D96" i="3"/>
  <c r="G96" i="3" s="1"/>
  <c r="D95" i="3"/>
  <c r="G95" i="3" s="1"/>
  <c r="D94" i="3"/>
  <c r="G94" i="3" s="1"/>
  <c r="D93" i="3"/>
  <c r="G93" i="3" s="1"/>
  <c r="D92" i="3"/>
  <c r="G92" i="3" s="1"/>
  <c r="D106" i="3"/>
  <c r="D105" i="3"/>
  <c r="G105" i="3" s="1"/>
  <c r="D104" i="3"/>
  <c r="D103" i="3"/>
  <c r="G103" i="3" s="1"/>
  <c r="D102" i="3"/>
  <c r="D101" i="3"/>
  <c r="G101" i="3" s="1"/>
  <c r="D100" i="3"/>
  <c r="G100" i="3" s="1"/>
  <c r="H100" i="3"/>
  <c r="X100" i="3" s="1"/>
  <c r="H99" i="3"/>
  <c r="V99" i="3" s="1"/>
  <c r="H98" i="3"/>
  <c r="X98" i="3" s="1"/>
  <c r="H97" i="3"/>
  <c r="V97" i="3" s="1"/>
  <c r="H96" i="3"/>
  <c r="X96" i="3" s="1"/>
  <c r="H95" i="3"/>
  <c r="U95" i="3" s="1"/>
  <c r="H94" i="3"/>
  <c r="W94" i="3" s="1"/>
  <c r="H93" i="3"/>
  <c r="U93" i="3" s="1"/>
  <c r="H92" i="3"/>
  <c r="W92" i="3" s="1"/>
  <c r="C7" i="34"/>
  <c r="C8" i="34" s="1"/>
  <c r="C11" i="34"/>
  <c r="G8" i="9"/>
  <c r="H8" i="9" s="1"/>
  <c r="G15" i="9"/>
  <c r="H15" i="9" s="1"/>
  <c r="G13" i="9"/>
  <c r="H13" i="9" s="1"/>
  <c r="G11" i="9"/>
  <c r="H11" i="9" s="1"/>
  <c r="A8" i="9"/>
  <c r="G9" i="9"/>
  <c r="H9" i="9" s="1"/>
  <c r="G14" i="9"/>
  <c r="H14" i="9" s="1"/>
  <c r="G12" i="9"/>
  <c r="H12" i="9" s="1"/>
  <c r="G10" i="9"/>
  <c r="H10" i="9" s="1"/>
  <c r="H106" i="3"/>
  <c r="V106" i="3" s="1"/>
  <c r="G106" i="3"/>
  <c r="H104" i="3"/>
  <c r="V104" i="3" s="1"/>
  <c r="G104" i="3"/>
  <c r="H102" i="3"/>
  <c r="V102" i="3" s="1"/>
  <c r="G102" i="3"/>
  <c r="H105" i="3"/>
  <c r="X105" i="3" s="1"/>
  <c r="B6" i="34"/>
  <c r="B7" i="34" s="1"/>
  <c r="B8" i="34" s="1"/>
  <c r="AF25" i="14"/>
  <c r="AG25" i="14" s="1"/>
  <c r="AD25" i="14"/>
  <c r="AB25" i="14"/>
  <c r="AC25" i="14" s="1"/>
  <c r="Z25" i="14"/>
  <c r="AA25" i="14" s="1"/>
  <c r="X25" i="14"/>
  <c r="Y25" i="14" s="1"/>
  <c r="V25" i="14"/>
  <c r="W25" i="14" s="1"/>
  <c r="T25" i="14"/>
  <c r="U25" i="14" s="1"/>
  <c r="R25" i="14"/>
  <c r="S25" i="14" s="1"/>
  <c r="AF11" i="14"/>
  <c r="AG11" i="14" s="1"/>
  <c r="AD11" i="14"/>
  <c r="AB11" i="14"/>
  <c r="AC11" i="14" s="1"/>
  <c r="Z11" i="14"/>
  <c r="AA11" i="14" s="1"/>
  <c r="X11" i="14"/>
  <c r="V11" i="14"/>
  <c r="W11" i="14" s="1"/>
  <c r="T11" i="14"/>
  <c r="U11" i="14" s="1"/>
  <c r="R11" i="14"/>
  <c r="S11" i="14" s="1"/>
  <c r="AF106" i="14"/>
  <c r="AG106" i="14" s="1"/>
  <c r="AD106" i="14"/>
  <c r="AE106" i="14" s="1"/>
  <c r="AB106" i="14"/>
  <c r="AC106" i="14" s="1"/>
  <c r="Z106" i="14"/>
  <c r="AA106" i="14" s="1"/>
  <c r="X106" i="14"/>
  <c r="Y106" i="14" s="1"/>
  <c r="V106" i="14"/>
  <c r="W106" i="14" s="1"/>
  <c r="T106" i="14"/>
  <c r="U106" i="14" s="1"/>
  <c r="R106" i="14"/>
  <c r="S106" i="14" s="1"/>
  <c r="AF105" i="14"/>
  <c r="AG105" i="14" s="1"/>
  <c r="AD105" i="14"/>
  <c r="AE105" i="14" s="1"/>
  <c r="AB105" i="14"/>
  <c r="AC105" i="14" s="1"/>
  <c r="Z105" i="14"/>
  <c r="AA105" i="14" s="1"/>
  <c r="X105" i="14"/>
  <c r="Y105" i="14" s="1"/>
  <c r="V105" i="14"/>
  <c r="W105" i="14" s="1"/>
  <c r="T105" i="14"/>
  <c r="U105" i="14" s="1"/>
  <c r="R105" i="14"/>
  <c r="S105" i="14" s="1"/>
  <c r="AF104" i="14"/>
  <c r="AG104" i="14" s="1"/>
  <c r="AD104" i="14"/>
  <c r="AE104" i="14" s="1"/>
  <c r="AB104" i="14"/>
  <c r="AC104" i="14" s="1"/>
  <c r="Z104" i="14"/>
  <c r="AA104" i="14" s="1"/>
  <c r="X104" i="14"/>
  <c r="Y104" i="14" s="1"/>
  <c r="V104" i="14"/>
  <c r="W104" i="14" s="1"/>
  <c r="T104" i="14"/>
  <c r="U104" i="14" s="1"/>
  <c r="R104" i="14"/>
  <c r="S104" i="14" s="1"/>
  <c r="AF103" i="14"/>
  <c r="AG103" i="14" s="1"/>
  <c r="AD103" i="14"/>
  <c r="AE103" i="14" s="1"/>
  <c r="AB103" i="14"/>
  <c r="AC103" i="14" s="1"/>
  <c r="Z103" i="14"/>
  <c r="AA103" i="14" s="1"/>
  <c r="X103" i="14"/>
  <c r="Y103" i="14" s="1"/>
  <c r="V103" i="14"/>
  <c r="W103" i="14" s="1"/>
  <c r="T103" i="14"/>
  <c r="U103" i="14" s="1"/>
  <c r="R103" i="14"/>
  <c r="S103" i="14" s="1"/>
  <c r="AF102" i="14"/>
  <c r="AG102" i="14" s="1"/>
  <c r="AD102" i="14"/>
  <c r="AE102" i="14" s="1"/>
  <c r="AB102" i="14"/>
  <c r="AC102" i="14" s="1"/>
  <c r="Z102" i="14"/>
  <c r="AA102" i="14" s="1"/>
  <c r="X102" i="14"/>
  <c r="Y102" i="14" s="1"/>
  <c r="V102" i="14"/>
  <c r="W102" i="14" s="1"/>
  <c r="T102" i="14"/>
  <c r="U102" i="14" s="1"/>
  <c r="R102" i="14"/>
  <c r="S102" i="14" s="1"/>
  <c r="AF101" i="14"/>
  <c r="AG101" i="14" s="1"/>
  <c r="AD101" i="14"/>
  <c r="AE101" i="14" s="1"/>
  <c r="AB101" i="14"/>
  <c r="AC101" i="14" s="1"/>
  <c r="Z101" i="14"/>
  <c r="AA101" i="14" s="1"/>
  <c r="X101" i="14"/>
  <c r="Y101" i="14" s="1"/>
  <c r="V101" i="14"/>
  <c r="W101" i="14" s="1"/>
  <c r="T101" i="14"/>
  <c r="U101" i="14" s="1"/>
  <c r="R101" i="14"/>
  <c r="S101" i="14" s="1"/>
  <c r="AF100" i="14"/>
  <c r="AG100" i="14" s="1"/>
  <c r="AD100" i="14"/>
  <c r="AE100" i="14" s="1"/>
  <c r="AB100" i="14"/>
  <c r="AC100" i="14" s="1"/>
  <c r="Z100" i="14"/>
  <c r="AA100" i="14" s="1"/>
  <c r="X100" i="14"/>
  <c r="Y100" i="14" s="1"/>
  <c r="V100" i="14"/>
  <c r="W100" i="14" s="1"/>
  <c r="T100" i="14"/>
  <c r="U100" i="14" s="1"/>
  <c r="R100" i="14"/>
  <c r="S100" i="14" s="1"/>
  <c r="AF99" i="14"/>
  <c r="AG99" i="14" s="1"/>
  <c r="AD99" i="14"/>
  <c r="AE99" i="14" s="1"/>
  <c r="AB99" i="14"/>
  <c r="AC99" i="14" s="1"/>
  <c r="Z99" i="14"/>
  <c r="AA99" i="14" s="1"/>
  <c r="X99" i="14"/>
  <c r="Y99" i="14" s="1"/>
  <c r="V99" i="14"/>
  <c r="W99" i="14" s="1"/>
  <c r="T99" i="14"/>
  <c r="U99" i="14" s="1"/>
  <c r="R99" i="14"/>
  <c r="S99" i="14" s="1"/>
  <c r="AF98" i="14"/>
  <c r="AG98" i="14" s="1"/>
  <c r="AD98" i="14"/>
  <c r="AE98" i="14" s="1"/>
  <c r="AB98" i="14"/>
  <c r="AC98" i="14" s="1"/>
  <c r="Z98" i="14"/>
  <c r="AA98" i="14" s="1"/>
  <c r="X98" i="14"/>
  <c r="Y98" i="14" s="1"/>
  <c r="V98" i="14"/>
  <c r="W98" i="14" s="1"/>
  <c r="T98" i="14"/>
  <c r="U98" i="14" s="1"/>
  <c r="R98" i="14"/>
  <c r="S98" i="14" s="1"/>
  <c r="AF97" i="14"/>
  <c r="AG97" i="14" s="1"/>
  <c r="AD97" i="14"/>
  <c r="AE97" i="14" s="1"/>
  <c r="AB97" i="14"/>
  <c r="AC97" i="14" s="1"/>
  <c r="Z97" i="14"/>
  <c r="AA97" i="14" s="1"/>
  <c r="X97" i="14"/>
  <c r="Y97" i="14" s="1"/>
  <c r="V97" i="14"/>
  <c r="W97" i="14" s="1"/>
  <c r="T97" i="14"/>
  <c r="U97" i="14" s="1"/>
  <c r="R97" i="14"/>
  <c r="S97" i="14" s="1"/>
  <c r="AF96" i="14"/>
  <c r="AG96" i="14" s="1"/>
  <c r="AD96" i="14"/>
  <c r="AE96" i="14" s="1"/>
  <c r="AB96" i="14"/>
  <c r="AC96" i="14" s="1"/>
  <c r="Z96" i="14"/>
  <c r="AA96" i="14" s="1"/>
  <c r="X96" i="14"/>
  <c r="Y96" i="14" s="1"/>
  <c r="V96" i="14"/>
  <c r="W96" i="14" s="1"/>
  <c r="T96" i="14"/>
  <c r="U96" i="14" s="1"/>
  <c r="R96" i="14"/>
  <c r="S96" i="14" s="1"/>
  <c r="AF95" i="14"/>
  <c r="AG95" i="14" s="1"/>
  <c r="AD95" i="14"/>
  <c r="AE95" i="14" s="1"/>
  <c r="AB95" i="14"/>
  <c r="AC95" i="14" s="1"/>
  <c r="Z95" i="14"/>
  <c r="AA95" i="14" s="1"/>
  <c r="X95" i="14"/>
  <c r="Y95" i="14" s="1"/>
  <c r="V95" i="14"/>
  <c r="W95" i="14" s="1"/>
  <c r="T95" i="14"/>
  <c r="U95" i="14" s="1"/>
  <c r="R95" i="14"/>
  <c r="S95" i="14" s="1"/>
  <c r="AF94" i="14"/>
  <c r="AG94" i="14" s="1"/>
  <c r="AD94" i="14"/>
  <c r="AE94" i="14" s="1"/>
  <c r="AB94" i="14"/>
  <c r="AC94" i="14" s="1"/>
  <c r="Z94" i="14"/>
  <c r="AA94" i="14" s="1"/>
  <c r="X94" i="14"/>
  <c r="Y94" i="14" s="1"/>
  <c r="V94" i="14"/>
  <c r="W94" i="14" s="1"/>
  <c r="T94" i="14"/>
  <c r="U94" i="14" s="1"/>
  <c r="R94" i="14"/>
  <c r="S94" i="14" s="1"/>
  <c r="AF93" i="14"/>
  <c r="AG93" i="14" s="1"/>
  <c r="AD93" i="14"/>
  <c r="AE93" i="14" s="1"/>
  <c r="AB93" i="14"/>
  <c r="AC93" i="14" s="1"/>
  <c r="Z93" i="14"/>
  <c r="AA93" i="14" s="1"/>
  <c r="X93" i="14"/>
  <c r="Y93" i="14" s="1"/>
  <c r="V93" i="14"/>
  <c r="W93" i="14" s="1"/>
  <c r="T93" i="14"/>
  <c r="U93" i="14" s="1"/>
  <c r="R93" i="14"/>
  <c r="S93" i="14" s="1"/>
  <c r="AF92" i="14"/>
  <c r="AG92" i="14" s="1"/>
  <c r="AD92" i="14"/>
  <c r="AE92" i="14" s="1"/>
  <c r="AB92" i="14"/>
  <c r="AC92" i="14" s="1"/>
  <c r="Z92" i="14"/>
  <c r="AA92" i="14" s="1"/>
  <c r="X92" i="14"/>
  <c r="Y92" i="14" s="1"/>
  <c r="V92" i="14"/>
  <c r="W92" i="14" s="1"/>
  <c r="T92" i="14"/>
  <c r="U92" i="14" s="1"/>
  <c r="R92" i="14"/>
  <c r="S92" i="14" s="1"/>
  <c r="AF91" i="14"/>
  <c r="AG91" i="14" s="1"/>
  <c r="AD91" i="14"/>
  <c r="AE91" i="14" s="1"/>
  <c r="AB91" i="14"/>
  <c r="AC91" i="14" s="1"/>
  <c r="Z91" i="14"/>
  <c r="AA91" i="14" s="1"/>
  <c r="X91" i="14"/>
  <c r="Y91" i="14" s="1"/>
  <c r="V91" i="14"/>
  <c r="W91" i="14" s="1"/>
  <c r="T91" i="14"/>
  <c r="U91" i="14" s="1"/>
  <c r="R91" i="14"/>
  <c r="S91" i="14" s="1"/>
  <c r="AF90" i="14"/>
  <c r="AG90" i="14" s="1"/>
  <c r="AD90" i="14"/>
  <c r="AE90" i="14" s="1"/>
  <c r="AB90" i="14"/>
  <c r="AC90" i="14" s="1"/>
  <c r="Z90" i="14"/>
  <c r="AA90" i="14" s="1"/>
  <c r="X90" i="14"/>
  <c r="Y90" i="14" s="1"/>
  <c r="V90" i="14"/>
  <c r="W90" i="14" s="1"/>
  <c r="T90" i="14"/>
  <c r="U90" i="14" s="1"/>
  <c r="R90" i="14"/>
  <c r="S90" i="14" s="1"/>
  <c r="AF89" i="14"/>
  <c r="AD89" i="14"/>
  <c r="AE89" i="14" s="1"/>
  <c r="AB89" i="14"/>
  <c r="AC89" i="14" s="1"/>
  <c r="Z89" i="14"/>
  <c r="X89" i="14"/>
  <c r="Y89" i="14" s="1"/>
  <c r="V89" i="14"/>
  <c r="W89" i="14" s="1"/>
  <c r="T89" i="14"/>
  <c r="U89" i="14" s="1"/>
  <c r="R89" i="14"/>
  <c r="S89" i="14" s="1"/>
  <c r="AF88" i="14"/>
  <c r="AG88" i="14" s="1"/>
  <c r="AD88" i="14"/>
  <c r="AB88" i="14"/>
  <c r="AC88" i="14" s="1"/>
  <c r="Z88" i="14"/>
  <c r="AA88" i="14" s="1"/>
  <c r="X88" i="14"/>
  <c r="Y88" i="14" s="1"/>
  <c r="V88" i="14"/>
  <c r="W88" i="14" s="1"/>
  <c r="T88" i="14"/>
  <c r="U88" i="14" s="1"/>
  <c r="R88" i="14"/>
  <c r="S88" i="14" s="1"/>
  <c r="AF87" i="14"/>
  <c r="AD87" i="14"/>
  <c r="AE87" i="14" s="1"/>
  <c r="AB87" i="14"/>
  <c r="AC87" i="14" s="1"/>
  <c r="Z87" i="14"/>
  <c r="X87" i="14"/>
  <c r="Y87" i="14" s="1"/>
  <c r="V87" i="14"/>
  <c r="W87" i="14" s="1"/>
  <c r="T87" i="14"/>
  <c r="U87" i="14" s="1"/>
  <c r="R87" i="14"/>
  <c r="S87" i="14" s="1"/>
  <c r="AF86" i="14"/>
  <c r="AG86" i="14" s="1"/>
  <c r="AD86" i="14"/>
  <c r="AE86" i="14" s="1"/>
  <c r="AB86" i="14"/>
  <c r="AC86" i="14" s="1"/>
  <c r="Z86" i="14"/>
  <c r="AA86" i="14" s="1"/>
  <c r="X86" i="14"/>
  <c r="Y86" i="14" s="1"/>
  <c r="V86" i="14"/>
  <c r="W86" i="14" s="1"/>
  <c r="T86" i="14"/>
  <c r="U86" i="14" s="1"/>
  <c r="R86" i="14"/>
  <c r="S86" i="14" s="1"/>
  <c r="AD85" i="14"/>
  <c r="AE85" i="14" s="1"/>
  <c r="AB85" i="14"/>
  <c r="AC85" i="14" s="1"/>
  <c r="X85" i="14"/>
  <c r="Y85" i="14" s="1"/>
  <c r="V85" i="14"/>
  <c r="W85" i="14" s="1"/>
  <c r="U85" i="14"/>
  <c r="AA85" i="14" s="1"/>
  <c r="AG85" i="14" s="1"/>
  <c r="R85" i="14"/>
  <c r="S85" i="14" s="1"/>
  <c r="AF84" i="14"/>
  <c r="AD84" i="14"/>
  <c r="AE84" i="14" s="1"/>
  <c r="AB84" i="14"/>
  <c r="AC84" i="14" s="1"/>
  <c r="Z84" i="14"/>
  <c r="X84" i="14"/>
  <c r="Y84" i="14" s="1"/>
  <c r="V84" i="14"/>
  <c r="W84" i="14" s="1"/>
  <c r="T84" i="14"/>
  <c r="U84" i="14" s="1"/>
  <c r="R84" i="14"/>
  <c r="S84" i="14" s="1"/>
  <c r="AF81" i="14"/>
  <c r="AD81" i="14"/>
  <c r="AE81" i="14" s="1"/>
  <c r="AB81" i="14"/>
  <c r="AC81" i="14" s="1"/>
  <c r="Z81" i="14"/>
  <c r="X81" i="14"/>
  <c r="Y81" i="14" s="1"/>
  <c r="V81" i="14"/>
  <c r="W81" i="14" s="1"/>
  <c r="T81" i="14"/>
  <c r="U81" i="14" s="1"/>
  <c r="R81" i="14"/>
  <c r="S81" i="14" s="1"/>
  <c r="AF80" i="14"/>
  <c r="AG80" i="14" s="1"/>
  <c r="AD80" i="14"/>
  <c r="AE80" i="14" s="1"/>
  <c r="AB80" i="14"/>
  <c r="AC80" i="14" s="1"/>
  <c r="Z80" i="14"/>
  <c r="AA80" i="14" s="1"/>
  <c r="X80" i="14"/>
  <c r="Y80" i="14" s="1"/>
  <c r="V80" i="14"/>
  <c r="W80" i="14" s="1"/>
  <c r="T80" i="14"/>
  <c r="U80" i="14" s="1"/>
  <c r="R80" i="14"/>
  <c r="S80" i="14" s="1"/>
  <c r="AF79" i="14"/>
  <c r="AD79" i="14"/>
  <c r="AB79" i="14"/>
  <c r="AC79" i="14" s="1"/>
  <c r="Z79" i="14"/>
  <c r="X79" i="14"/>
  <c r="Y79" i="14" s="1"/>
  <c r="V79" i="14"/>
  <c r="W79" i="14" s="1"/>
  <c r="T79" i="14"/>
  <c r="U79" i="14" s="1"/>
  <c r="R79" i="14"/>
  <c r="S79" i="14" s="1"/>
  <c r="AF78" i="14"/>
  <c r="AG78" i="14" s="1"/>
  <c r="AD78" i="14"/>
  <c r="AE78" i="14" s="1"/>
  <c r="AB78" i="14"/>
  <c r="AC78" i="14" s="1"/>
  <c r="Z78" i="14"/>
  <c r="AA78" i="14" s="1"/>
  <c r="X78" i="14"/>
  <c r="Y78" i="14" s="1"/>
  <c r="V78" i="14"/>
  <c r="W78" i="14" s="1"/>
  <c r="T78" i="14"/>
  <c r="U78" i="14" s="1"/>
  <c r="R78" i="14"/>
  <c r="S78" i="14" s="1"/>
  <c r="AF77" i="14"/>
  <c r="AD77" i="14"/>
  <c r="AE77" i="14" s="1"/>
  <c r="AB77" i="14"/>
  <c r="Z77" i="14"/>
  <c r="X77" i="14"/>
  <c r="Y77" i="14" s="1"/>
  <c r="V77" i="14"/>
  <c r="W77" i="14" s="1"/>
  <c r="T77" i="14"/>
  <c r="U77" i="14" s="1"/>
  <c r="R77" i="14"/>
  <c r="S77" i="14" s="1"/>
  <c r="AF76" i="14"/>
  <c r="AD76" i="14"/>
  <c r="AE76" i="14" s="1"/>
  <c r="AB76" i="14"/>
  <c r="AC76" i="14" s="1"/>
  <c r="Z76" i="14"/>
  <c r="X76" i="14"/>
  <c r="Y76" i="14" s="1"/>
  <c r="V76" i="14"/>
  <c r="W76" i="14" s="1"/>
  <c r="T76" i="14"/>
  <c r="U76" i="14" s="1"/>
  <c r="R76" i="14"/>
  <c r="S76" i="14" s="1"/>
  <c r="AF75" i="14"/>
  <c r="AG75" i="14" s="1"/>
  <c r="AD75" i="14"/>
  <c r="AB75" i="14"/>
  <c r="AC75" i="14" s="1"/>
  <c r="Z75" i="14"/>
  <c r="AA75" i="14" s="1"/>
  <c r="X75" i="14"/>
  <c r="Y75" i="14" s="1"/>
  <c r="V75" i="14"/>
  <c r="W75" i="14" s="1"/>
  <c r="T75" i="14"/>
  <c r="U75" i="14" s="1"/>
  <c r="R75" i="14"/>
  <c r="S75" i="14" s="1"/>
  <c r="AF74" i="14"/>
  <c r="AG74" i="14" s="1"/>
  <c r="AD74" i="14"/>
  <c r="AE74" i="14" s="1"/>
  <c r="AB74" i="14"/>
  <c r="AC74" i="14" s="1"/>
  <c r="Z74" i="14"/>
  <c r="AA74" i="14" s="1"/>
  <c r="X74" i="14"/>
  <c r="Y74" i="14" s="1"/>
  <c r="V74" i="14"/>
  <c r="W74" i="14" s="1"/>
  <c r="T74" i="14"/>
  <c r="U74" i="14" s="1"/>
  <c r="R74" i="14"/>
  <c r="S74" i="14" s="1"/>
  <c r="AF73" i="14"/>
  <c r="AD73" i="14"/>
  <c r="AB73" i="14"/>
  <c r="AC73" i="14" s="1"/>
  <c r="Z73" i="14"/>
  <c r="X73" i="14"/>
  <c r="V73" i="14"/>
  <c r="W73" i="14" s="1"/>
  <c r="T73" i="14"/>
  <c r="U73" i="14" s="1"/>
  <c r="R73" i="14"/>
  <c r="S73" i="14" s="1"/>
  <c r="AF72" i="14"/>
  <c r="AG72" i="14" s="1"/>
  <c r="AD72" i="14"/>
  <c r="AB72" i="14"/>
  <c r="AC72" i="14" s="1"/>
  <c r="Z72" i="14"/>
  <c r="AA72" i="14" s="1"/>
  <c r="X72" i="14"/>
  <c r="Y72" i="14" s="1"/>
  <c r="V72" i="14"/>
  <c r="W72" i="14" s="1"/>
  <c r="T72" i="14"/>
  <c r="U72" i="14" s="1"/>
  <c r="R72" i="14"/>
  <c r="S72" i="14" s="1"/>
  <c r="AF71" i="14"/>
  <c r="AD71" i="14"/>
  <c r="AB71" i="14"/>
  <c r="AC71" i="14" s="1"/>
  <c r="Z71" i="14"/>
  <c r="X71" i="14"/>
  <c r="Y71" i="14" s="1"/>
  <c r="V71" i="14"/>
  <c r="W71" i="14" s="1"/>
  <c r="T71" i="14"/>
  <c r="U71" i="14" s="1"/>
  <c r="R71" i="14"/>
  <c r="S71" i="14" s="1"/>
  <c r="AF70" i="14"/>
  <c r="AD70" i="14"/>
  <c r="AE70" i="14" s="1"/>
  <c r="AB70" i="14"/>
  <c r="AC70" i="14" s="1"/>
  <c r="Z70" i="14"/>
  <c r="X70" i="14"/>
  <c r="Y70" i="14" s="1"/>
  <c r="V70" i="14"/>
  <c r="W70" i="14" s="1"/>
  <c r="T70" i="14"/>
  <c r="U70" i="14" s="1"/>
  <c r="R70" i="14"/>
  <c r="S70" i="14" s="1"/>
  <c r="AF69" i="14"/>
  <c r="AG69" i="14" s="1"/>
  <c r="AD69" i="14"/>
  <c r="AC69" i="14"/>
  <c r="AB69" i="14"/>
  <c r="Z69" i="14"/>
  <c r="AA69" i="14" s="1"/>
  <c r="Y69" i="14"/>
  <c r="X69" i="14"/>
  <c r="V69" i="14"/>
  <c r="W69" i="14" s="1"/>
  <c r="T69" i="14"/>
  <c r="U69" i="14" s="1"/>
  <c r="R69" i="14"/>
  <c r="S69" i="14" s="1"/>
  <c r="AF68" i="14"/>
  <c r="AD68" i="14"/>
  <c r="AE68" i="14" s="1"/>
  <c r="AB68" i="14"/>
  <c r="AC68" i="14" s="1"/>
  <c r="Z68" i="14"/>
  <c r="X68" i="14"/>
  <c r="Y68" i="14" s="1"/>
  <c r="V68" i="14"/>
  <c r="W68" i="14" s="1"/>
  <c r="T68" i="14"/>
  <c r="U68" i="14" s="1"/>
  <c r="R68" i="14"/>
  <c r="S68" i="14" s="1"/>
  <c r="AF67" i="14"/>
  <c r="AG67" i="14" s="1"/>
  <c r="AD67" i="14"/>
  <c r="AE67" i="14" s="1"/>
  <c r="AB67" i="14"/>
  <c r="AC67" i="14" s="1"/>
  <c r="Z67" i="14"/>
  <c r="AA67" i="14" s="1"/>
  <c r="X67" i="14"/>
  <c r="Y67" i="14" s="1"/>
  <c r="V67" i="14"/>
  <c r="W67" i="14" s="1"/>
  <c r="T67" i="14"/>
  <c r="U67" i="14" s="1"/>
  <c r="R67" i="14"/>
  <c r="S67" i="14" s="1"/>
  <c r="AF66" i="14"/>
  <c r="AD66" i="14"/>
  <c r="AE66" i="14" s="1"/>
  <c r="AB66" i="14"/>
  <c r="AC66" i="14" s="1"/>
  <c r="Z66" i="14"/>
  <c r="X66" i="14"/>
  <c r="Y66" i="14" s="1"/>
  <c r="V66" i="14"/>
  <c r="W66" i="14" s="1"/>
  <c r="T66" i="14"/>
  <c r="U66" i="14" s="1"/>
  <c r="AA66" i="14" s="1"/>
  <c r="AG66" i="14" s="1"/>
  <c r="R66" i="14"/>
  <c r="S66" i="14" s="1"/>
  <c r="AF65" i="14"/>
  <c r="AD65" i="14"/>
  <c r="AE65" i="14" s="1"/>
  <c r="AB65" i="14"/>
  <c r="AC65" i="14" s="1"/>
  <c r="Z65" i="14"/>
  <c r="X65" i="14"/>
  <c r="Y65" i="14" s="1"/>
  <c r="V65" i="14"/>
  <c r="W65" i="14" s="1"/>
  <c r="T65" i="14"/>
  <c r="U65" i="14" s="1"/>
  <c r="R65" i="14"/>
  <c r="S65" i="14" s="1"/>
  <c r="AF64" i="14"/>
  <c r="AD64" i="14"/>
  <c r="AE64" i="14" s="1"/>
  <c r="AB64" i="14"/>
  <c r="AC64" i="14" s="1"/>
  <c r="Z64" i="14"/>
  <c r="X64" i="14"/>
  <c r="Y64" i="14" s="1"/>
  <c r="V64" i="14"/>
  <c r="W64" i="14" s="1"/>
  <c r="T64" i="14"/>
  <c r="U64" i="14" s="1"/>
  <c r="AA64" i="14" s="1"/>
  <c r="AG64" i="14" s="1"/>
  <c r="R64" i="14"/>
  <c r="S64" i="14" s="1"/>
  <c r="AF63" i="14"/>
  <c r="AD63" i="14"/>
  <c r="AE63" i="14" s="1"/>
  <c r="AB63" i="14"/>
  <c r="AC63" i="14" s="1"/>
  <c r="Z63" i="14"/>
  <c r="X63" i="14"/>
  <c r="Y63" i="14" s="1"/>
  <c r="V63" i="14"/>
  <c r="W63" i="14" s="1"/>
  <c r="T63" i="14"/>
  <c r="U63" i="14" s="1"/>
  <c r="R63" i="14"/>
  <c r="S63" i="14" s="1"/>
  <c r="AF62" i="14"/>
  <c r="AD62" i="14"/>
  <c r="AE62" i="14" s="1"/>
  <c r="AB62" i="14"/>
  <c r="AC62" i="14" s="1"/>
  <c r="Z62" i="14"/>
  <c r="X62" i="14"/>
  <c r="Y62" i="14" s="1"/>
  <c r="V62" i="14"/>
  <c r="W62" i="14" s="1"/>
  <c r="T62" i="14"/>
  <c r="U62" i="14" s="1"/>
  <c r="AA62" i="14" s="1"/>
  <c r="AG62" i="14" s="1"/>
  <c r="R62" i="14"/>
  <c r="S62" i="14" s="1"/>
  <c r="AF61" i="14"/>
  <c r="AG61" i="14" s="1"/>
  <c r="AD61" i="14"/>
  <c r="AB61" i="14"/>
  <c r="AC61" i="14" s="1"/>
  <c r="Z61" i="14"/>
  <c r="AA61" i="14" s="1"/>
  <c r="X61" i="14"/>
  <c r="Y61" i="14" s="1"/>
  <c r="V61" i="14"/>
  <c r="W61" i="14" s="1"/>
  <c r="T61" i="14"/>
  <c r="U61" i="14" s="1"/>
  <c r="R61" i="14"/>
  <c r="S61" i="14" s="1"/>
  <c r="AF60" i="14"/>
  <c r="AD60" i="14"/>
  <c r="AE60" i="14" s="1"/>
  <c r="AB60" i="14"/>
  <c r="AC60" i="14" s="1"/>
  <c r="Z60" i="14"/>
  <c r="X60" i="14"/>
  <c r="Y60" i="14" s="1"/>
  <c r="V60" i="14"/>
  <c r="W60" i="14" s="1"/>
  <c r="T60" i="14"/>
  <c r="U60" i="14" s="1"/>
  <c r="AA60" i="14" s="1"/>
  <c r="AG60" i="14" s="1"/>
  <c r="R60" i="14"/>
  <c r="S60" i="14" s="1"/>
  <c r="AF59" i="14"/>
  <c r="AD59" i="14"/>
  <c r="AE59" i="14" s="1"/>
  <c r="AC59" i="14"/>
  <c r="AB59" i="14"/>
  <c r="Z59" i="14"/>
  <c r="X59" i="14"/>
  <c r="Y59" i="14" s="1"/>
  <c r="V59" i="14"/>
  <c r="W59" i="14" s="1"/>
  <c r="T59" i="14"/>
  <c r="U59" i="14" s="1"/>
  <c r="R59" i="14"/>
  <c r="S59" i="14" s="1"/>
  <c r="AF57" i="14"/>
  <c r="AD57" i="14"/>
  <c r="AE57" i="14" s="1"/>
  <c r="AB57" i="14"/>
  <c r="AC57" i="14" s="1"/>
  <c r="Z57" i="14"/>
  <c r="X57" i="14"/>
  <c r="Y57" i="14" s="1"/>
  <c r="V57" i="14"/>
  <c r="W57" i="14" s="1"/>
  <c r="T57" i="14"/>
  <c r="U57" i="14" s="1"/>
  <c r="R57" i="14"/>
  <c r="S57" i="14" s="1"/>
  <c r="AF56" i="14"/>
  <c r="AD56" i="14"/>
  <c r="AE56" i="14" s="1"/>
  <c r="AB56" i="14"/>
  <c r="AC56" i="14" s="1"/>
  <c r="Z56" i="14"/>
  <c r="X56" i="14"/>
  <c r="Y56" i="14" s="1"/>
  <c r="V56" i="14"/>
  <c r="W56" i="14" s="1"/>
  <c r="T56" i="14"/>
  <c r="U56" i="14" s="1"/>
  <c r="R56" i="14"/>
  <c r="S56" i="14" s="1"/>
  <c r="AF55" i="14"/>
  <c r="AD55" i="14"/>
  <c r="AE55" i="14" s="1"/>
  <c r="AB55" i="14"/>
  <c r="AC55" i="14" s="1"/>
  <c r="Z55" i="14"/>
  <c r="X55" i="14"/>
  <c r="Y55" i="14" s="1"/>
  <c r="V55" i="14"/>
  <c r="W55" i="14" s="1"/>
  <c r="T55" i="14"/>
  <c r="U55" i="14" s="1"/>
  <c r="R55" i="14"/>
  <c r="S55" i="14" s="1"/>
  <c r="AF54" i="14"/>
  <c r="AG54" i="14" s="1"/>
  <c r="AD54" i="14"/>
  <c r="AE54" i="14" s="1"/>
  <c r="AB54" i="14"/>
  <c r="AC54" i="14" s="1"/>
  <c r="Z54" i="14"/>
  <c r="AA54" i="14" s="1"/>
  <c r="X54" i="14"/>
  <c r="Y54" i="14" s="1"/>
  <c r="V54" i="14"/>
  <c r="W54" i="14" s="1"/>
  <c r="T54" i="14"/>
  <c r="U54" i="14" s="1"/>
  <c r="R54" i="14"/>
  <c r="S54" i="14" s="1"/>
  <c r="R53" i="14"/>
  <c r="AF52" i="14"/>
  <c r="AG52" i="14" s="1"/>
  <c r="AD52" i="14"/>
  <c r="AB52" i="14"/>
  <c r="Z52" i="14"/>
  <c r="AA52" i="14" s="1"/>
  <c r="X52" i="14"/>
  <c r="Y52" i="14" s="1"/>
  <c r="V52" i="14"/>
  <c r="W52" i="14" s="1"/>
  <c r="T52" i="14"/>
  <c r="U52" i="14" s="1"/>
  <c r="R52" i="14"/>
  <c r="S52" i="14" s="1"/>
  <c r="AF51" i="14"/>
  <c r="AG51" i="14" s="1"/>
  <c r="AD51" i="14"/>
  <c r="AB51" i="14"/>
  <c r="AA51" i="14"/>
  <c r="Z51" i="14"/>
  <c r="X51" i="14"/>
  <c r="Y51" i="14" s="1"/>
  <c r="AE51" i="14" s="1"/>
  <c r="V51" i="14"/>
  <c r="W51" i="14" s="1"/>
  <c r="T51" i="14"/>
  <c r="U51" i="14" s="1"/>
  <c r="R51" i="14"/>
  <c r="S51" i="14" s="1"/>
  <c r="AF50" i="14"/>
  <c r="AG50" i="14" s="1"/>
  <c r="AD50" i="14"/>
  <c r="AB50" i="14"/>
  <c r="AC50" i="14" s="1"/>
  <c r="Z50" i="14"/>
  <c r="AA50" i="14" s="1"/>
  <c r="X50" i="14"/>
  <c r="Y50" i="14" s="1"/>
  <c r="V50" i="14"/>
  <c r="W50" i="14" s="1"/>
  <c r="T50" i="14"/>
  <c r="U50" i="14" s="1"/>
  <c r="R50" i="14"/>
  <c r="S50" i="14" s="1"/>
  <c r="R49" i="14"/>
  <c r="AF48" i="14"/>
  <c r="AD48" i="14"/>
  <c r="AE48" i="14" s="1"/>
  <c r="AB48" i="14"/>
  <c r="AC48" i="14" s="1"/>
  <c r="Z48" i="14"/>
  <c r="X48" i="14"/>
  <c r="Y48" i="14" s="1"/>
  <c r="V48" i="14"/>
  <c r="W48" i="14" s="1"/>
  <c r="T48" i="14"/>
  <c r="U48" i="14" s="1"/>
  <c r="R48" i="14"/>
  <c r="S48" i="14" s="1"/>
  <c r="AF47" i="14"/>
  <c r="AD47" i="14"/>
  <c r="AB47" i="14"/>
  <c r="AC47" i="14" s="1"/>
  <c r="Z47" i="14"/>
  <c r="X47" i="14"/>
  <c r="V47" i="14"/>
  <c r="W47" i="14" s="1"/>
  <c r="T47" i="14"/>
  <c r="U47" i="14" s="1"/>
  <c r="R47" i="14"/>
  <c r="S47" i="14" s="1"/>
  <c r="AF46" i="14"/>
  <c r="AD46" i="14"/>
  <c r="AB46" i="14"/>
  <c r="AC46" i="14" s="1"/>
  <c r="Z46" i="14"/>
  <c r="X46" i="14"/>
  <c r="Y46" i="14" s="1"/>
  <c r="V46" i="14"/>
  <c r="W46" i="14" s="1"/>
  <c r="T46" i="14"/>
  <c r="U46" i="14" s="1"/>
  <c r="R46" i="14"/>
  <c r="S46" i="14" s="1"/>
  <c r="AF45" i="14"/>
  <c r="AD45" i="14"/>
  <c r="AE45" i="14" s="1"/>
  <c r="AB45" i="14"/>
  <c r="Z45" i="14"/>
  <c r="X45" i="14"/>
  <c r="Y45" i="14" s="1"/>
  <c r="V45" i="14"/>
  <c r="W45" i="14" s="1"/>
  <c r="T45" i="14"/>
  <c r="U45" i="14" s="1"/>
  <c r="AA45" i="14" s="1"/>
  <c r="AG45" i="14" s="1"/>
  <c r="R45" i="14"/>
  <c r="S45" i="14" s="1"/>
  <c r="AF44" i="14"/>
  <c r="AG44" i="14" s="1"/>
  <c r="AD44" i="14"/>
  <c r="AB44" i="14"/>
  <c r="AC44" i="14" s="1"/>
  <c r="Z44" i="14"/>
  <c r="AA44" i="14" s="1"/>
  <c r="X44" i="14"/>
  <c r="Y44" i="14" s="1"/>
  <c r="AE44" i="14" s="1"/>
  <c r="V44" i="14"/>
  <c r="W44" i="14" s="1"/>
  <c r="T44" i="14"/>
  <c r="U44" i="14" s="1"/>
  <c r="R44" i="14"/>
  <c r="S44" i="14" s="1"/>
  <c r="AF43" i="14"/>
  <c r="AD43" i="14"/>
  <c r="AE43" i="14" s="1"/>
  <c r="AB43" i="14"/>
  <c r="Z43" i="14"/>
  <c r="X43" i="14"/>
  <c r="Y43" i="14" s="1"/>
  <c r="V43" i="14"/>
  <c r="W43" i="14" s="1"/>
  <c r="T43" i="14"/>
  <c r="U43" i="14" s="1"/>
  <c r="AA43" i="14" s="1"/>
  <c r="R43" i="14"/>
  <c r="S43" i="14" s="1"/>
  <c r="AF42" i="14"/>
  <c r="AG42" i="14" s="1"/>
  <c r="AD42" i="14"/>
  <c r="AE42" i="14" s="1"/>
  <c r="AB42" i="14"/>
  <c r="Z42" i="14"/>
  <c r="AA42" i="14" s="1"/>
  <c r="X42" i="14"/>
  <c r="Y42" i="14" s="1"/>
  <c r="V42" i="14"/>
  <c r="W42" i="14" s="1"/>
  <c r="T42" i="14"/>
  <c r="U42" i="14" s="1"/>
  <c r="R42" i="14"/>
  <c r="S42" i="14" s="1"/>
  <c r="AF41" i="14"/>
  <c r="AG41" i="14" s="1"/>
  <c r="AD41" i="14"/>
  <c r="AE41" i="14" s="1"/>
  <c r="AB41" i="14"/>
  <c r="AC41" i="14" s="1"/>
  <c r="Z41" i="14"/>
  <c r="AA41" i="14" s="1"/>
  <c r="X41" i="14"/>
  <c r="Y41" i="14" s="1"/>
  <c r="V41" i="14"/>
  <c r="W41" i="14" s="1"/>
  <c r="T41" i="14"/>
  <c r="U41" i="14" s="1"/>
  <c r="R41" i="14"/>
  <c r="S41" i="14" s="1"/>
  <c r="AF40" i="14"/>
  <c r="AG40" i="14" s="1"/>
  <c r="AD40" i="14"/>
  <c r="AB40" i="14"/>
  <c r="AC40" i="14" s="1"/>
  <c r="Z40" i="14"/>
  <c r="AA40" i="14" s="1"/>
  <c r="X40" i="14"/>
  <c r="Y40" i="14" s="1"/>
  <c r="V40" i="14"/>
  <c r="W40" i="14" s="1"/>
  <c r="T40" i="14"/>
  <c r="U40" i="14" s="1"/>
  <c r="R40" i="14"/>
  <c r="S40" i="14" s="1"/>
  <c r="AF39" i="14"/>
  <c r="AG39" i="14" s="1"/>
  <c r="AD39" i="14"/>
  <c r="AE39" i="14" s="1"/>
  <c r="AB39" i="14"/>
  <c r="AC39" i="14" s="1"/>
  <c r="Z39" i="14"/>
  <c r="AA39" i="14" s="1"/>
  <c r="X39" i="14"/>
  <c r="Y39" i="14" s="1"/>
  <c r="V39" i="14"/>
  <c r="W39" i="14" s="1"/>
  <c r="T39" i="14"/>
  <c r="U39" i="14" s="1"/>
  <c r="R39" i="14"/>
  <c r="S39" i="14" s="1"/>
  <c r="AF38" i="14"/>
  <c r="AD38" i="14"/>
  <c r="AE38" i="14" s="1"/>
  <c r="AB38" i="14"/>
  <c r="AC38" i="14" s="1"/>
  <c r="Z38" i="14"/>
  <c r="X38" i="14"/>
  <c r="Y38" i="14" s="1"/>
  <c r="V38" i="14"/>
  <c r="W38" i="14" s="1"/>
  <c r="T38" i="14"/>
  <c r="U38" i="14" s="1"/>
  <c r="R38" i="14"/>
  <c r="S38" i="14" s="1"/>
  <c r="R37" i="14"/>
  <c r="AF36" i="14"/>
  <c r="AG36" i="14" s="1"/>
  <c r="AD36" i="14"/>
  <c r="AB36" i="14"/>
  <c r="Z36" i="14"/>
  <c r="AA36" i="14" s="1"/>
  <c r="X36" i="14"/>
  <c r="Y36" i="14" s="1"/>
  <c r="V36" i="14"/>
  <c r="W36" i="14" s="1"/>
  <c r="T36" i="14"/>
  <c r="U36" i="14" s="1"/>
  <c r="R36" i="14"/>
  <c r="S36" i="14" s="1"/>
  <c r="AF35" i="14"/>
  <c r="AG35" i="14" s="1"/>
  <c r="AD35" i="14"/>
  <c r="AB35" i="14"/>
  <c r="Z35" i="14"/>
  <c r="AA35" i="14" s="1"/>
  <c r="X35" i="14"/>
  <c r="Y35" i="14" s="1"/>
  <c r="V35" i="14"/>
  <c r="W35" i="14" s="1"/>
  <c r="T35" i="14"/>
  <c r="U35" i="14" s="1"/>
  <c r="R35" i="14"/>
  <c r="S35" i="14" s="1"/>
  <c r="AF34" i="14"/>
  <c r="AG34" i="14" s="1"/>
  <c r="AD34" i="14"/>
  <c r="AB34" i="14"/>
  <c r="AC34" i="14" s="1"/>
  <c r="Z34" i="14"/>
  <c r="AA34" i="14" s="1"/>
  <c r="X34" i="14"/>
  <c r="Y34" i="14" s="1"/>
  <c r="V34" i="14"/>
  <c r="W34" i="14" s="1"/>
  <c r="T34" i="14"/>
  <c r="U34" i="14" s="1"/>
  <c r="R34" i="14"/>
  <c r="S34" i="14" s="1"/>
  <c r="R32" i="14"/>
  <c r="R30" i="14"/>
  <c r="AF24" i="14"/>
  <c r="AD24" i="14"/>
  <c r="AB24" i="14"/>
  <c r="AC24" i="14" s="1"/>
  <c r="Z24" i="14"/>
  <c r="X24" i="14"/>
  <c r="Y24" i="14" s="1"/>
  <c r="V24" i="14"/>
  <c r="W24" i="14" s="1"/>
  <c r="T24" i="14"/>
  <c r="U24" i="14" s="1"/>
  <c r="R24" i="14"/>
  <c r="S24" i="14" s="1"/>
  <c r="AF23" i="14"/>
  <c r="AD23" i="14"/>
  <c r="AE23" i="14" s="1"/>
  <c r="AB23" i="14"/>
  <c r="AC23" i="14" s="1"/>
  <c r="Z23" i="14"/>
  <c r="X23" i="14"/>
  <c r="Y23" i="14" s="1"/>
  <c r="V23" i="14"/>
  <c r="W23" i="14" s="1"/>
  <c r="T23" i="14"/>
  <c r="U23" i="14" s="1"/>
  <c r="R23" i="14"/>
  <c r="S23" i="14" s="1"/>
  <c r="AF22" i="14"/>
  <c r="AG22" i="14" s="1"/>
  <c r="AD22" i="14"/>
  <c r="AE22" i="14" s="1"/>
  <c r="AB22" i="14"/>
  <c r="Z22" i="14"/>
  <c r="AA22" i="14" s="1"/>
  <c r="X22" i="14"/>
  <c r="Y22" i="14" s="1"/>
  <c r="V22" i="14"/>
  <c r="W22" i="14" s="1"/>
  <c r="T22" i="14"/>
  <c r="U22" i="14" s="1"/>
  <c r="R22" i="14"/>
  <c r="S22" i="14" s="1"/>
  <c r="AF21" i="14"/>
  <c r="AD21" i="14"/>
  <c r="AE21" i="14" s="1"/>
  <c r="AB21" i="14"/>
  <c r="Z21" i="14"/>
  <c r="X21" i="14"/>
  <c r="Y21" i="14" s="1"/>
  <c r="V21" i="14"/>
  <c r="W21" i="14" s="1"/>
  <c r="T21" i="14"/>
  <c r="U21" i="14" s="1"/>
  <c r="R21" i="14"/>
  <c r="S21" i="14" s="1"/>
  <c r="AF18" i="14"/>
  <c r="AG18" i="14" s="1"/>
  <c r="AD18" i="14"/>
  <c r="AB18" i="14"/>
  <c r="AC18" i="14" s="1"/>
  <c r="Z18" i="14"/>
  <c r="AA18" i="14" s="1"/>
  <c r="X18" i="14"/>
  <c r="Y18" i="14" s="1"/>
  <c r="AE18" i="14" s="1"/>
  <c r="V18" i="14"/>
  <c r="W18" i="14" s="1"/>
  <c r="T18" i="14"/>
  <c r="U18" i="14" s="1"/>
  <c r="S18" i="14"/>
  <c r="R18" i="14"/>
  <c r="AF17" i="14"/>
  <c r="AG17" i="14" s="1"/>
  <c r="AD17" i="14"/>
  <c r="AB17" i="14"/>
  <c r="AC17" i="14" s="1"/>
  <c r="Z17" i="14"/>
  <c r="AA17" i="14" s="1"/>
  <c r="X17" i="14"/>
  <c r="Y17" i="14" s="1"/>
  <c r="V17" i="14"/>
  <c r="W17" i="14" s="1"/>
  <c r="T17" i="14"/>
  <c r="U17" i="14" s="1"/>
  <c r="R17" i="14"/>
  <c r="S17" i="14" s="1"/>
  <c r="R15" i="14"/>
  <c r="R20" i="14"/>
  <c r="S20" i="14" s="1"/>
  <c r="T20" i="14"/>
  <c r="U20" i="14" s="1"/>
  <c r="V20" i="14"/>
  <c r="W20" i="14" s="1"/>
  <c r="X20" i="14"/>
  <c r="Y20" i="14" s="1"/>
  <c r="Z20" i="14"/>
  <c r="AA20" i="14" s="1"/>
  <c r="AB20" i="14"/>
  <c r="AC20" i="14" s="1"/>
  <c r="AD20" i="14"/>
  <c r="AE20" i="14" s="1"/>
  <c r="AF20" i="14"/>
  <c r="AA46" i="14" l="1"/>
  <c r="AG46" i="14" s="1"/>
  <c r="AC36" i="14"/>
  <c r="AA38" i="14"/>
  <c r="AC42" i="14"/>
  <c r="AE50" i="14"/>
  <c r="AC51" i="14"/>
  <c r="AC52" i="14"/>
  <c r="AE79" i="14"/>
  <c r="AG38" i="14"/>
  <c r="AA59" i="14"/>
  <c r="AE61" i="14"/>
  <c r="AA87" i="14"/>
  <c r="AG87" i="14" s="1"/>
  <c r="AC45" i="14"/>
  <c r="AC43" i="14"/>
  <c r="AC77" i="14"/>
  <c r="AG71" i="14"/>
  <c r="AA71" i="14"/>
  <c r="Y73" i="14"/>
  <c r="AE73" i="14" s="1"/>
  <c r="AG59" i="14"/>
  <c r="W93" i="3"/>
  <c r="W95" i="3"/>
  <c r="X97" i="3"/>
  <c r="X99" i="3"/>
  <c r="V93" i="3"/>
  <c r="V95" i="3"/>
  <c r="W97" i="3"/>
  <c r="W99" i="3"/>
  <c r="H101" i="3"/>
  <c r="X101" i="3" s="1"/>
  <c r="X93" i="3"/>
  <c r="O93" i="3"/>
  <c r="X95" i="3"/>
  <c r="O95" i="3"/>
  <c r="U97" i="3"/>
  <c r="P97" i="3"/>
  <c r="U99" i="3"/>
  <c r="P99" i="3"/>
  <c r="H103" i="3"/>
  <c r="X103" i="3" s="1"/>
  <c r="T93" i="3"/>
  <c r="N93" i="3"/>
  <c r="K93" i="3"/>
  <c r="S93" i="3"/>
  <c r="T95" i="3"/>
  <c r="N95" i="3"/>
  <c r="K95" i="3"/>
  <c r="S95" i="3"/>
  <c r="Q97" i="3"/>
  <c r="O97" i="3"/>
  <c r="L97" i="3"/>
  <c r="T97" i="3"/>
  <c r="Q99" i="3"/>
  <c r="O99" i="3"/>
  <c r="L99" i="3"/>
  <c r="T99" i="3"/>
  <c r="I101" i="3"/>
  <c r="K101" i="3"/>
  <c r="J101" i="3"/>
  <c r="R101" i="3"/>
  <c r="Q102" i="3"/>
  <c r="U102" i="3"/>
  <c r="O102" i="3"/>
  <c r="W102" i="3"/>
  <c r="L102" i="3"/>
  <c r="P102" i="3"/>
  <c r="T102" i="3"/>
  <c r="X102" i="3"/>
  <c r="Q104" i="3"/>
  <c r="U104" i="3"/>
  <c r="O104" i="3"/>
  <c r="W104" i="3"/>
  <c r="L104" i="3"/>
  <c r="P104" i="3"/>
  <c r="T104" i="3"/>
  <c r="X104" i="3"/>
  <c r="I105" i="3"/>
  <c r="M105" i="3"/>
  <c r="K105" i="3"/>
  <c r="S105" i="3"/>
  <c r="J105" i="3"/>
  <c r="N105" i="3"/>
  <c r="R105" i="3"/>
  <c r="V105" i="3"/>
  <c r="Q106" i="3"/>
  <c r="U106" i="3"/>
  <c r="O106" i="3"/>
  <c r="W106" i="3"/>
  <c r="L106" i="3"/>
  <c r="P106" i="3"/>
  <c r="T106" i="3"/>
  <c r="X106" i="3"/>
  <c r="L92" i="3"/>
  <c r="P92" i="3"/>
  <c r="J92" i="3"/>
  <c r="R92" i="3"/>
  <c r="I92" i="3"/>
  <c r="M92" i="3"/>
  <c r="Q92" i="3"/>
  <c r="U92" i="3"/>
  <c r="L94" i="3"/>
  <c r="P94" i="3"/>
  <c r="J94" i="3"/>
  <c r="R94" i="3"/>
  <c r="I94" i="3"/>
  <c r="M94" i="3"/>
  <c r="Q94" i="3"/>
  <c r="U94" i="3"/>
  <c r="L96" i="3"/>
  <c r="J96" i="3"/>
  <c r="U96" i="3"/>
  <c r="K96" i="3"/>
  <c r="O96" i="3"/>
  <c r="W96" i="3"/>
  <c r="R96" i="3"/>
  <c r="V96" i="3"/>
  <c r="I98" i="3"/>
  <c r="M98" i="3"/>
  <c r="K98" i="3"/>
  <c r="S98" i="3"/>
  <c r="J98" i="3"/>
  <c r="N98" i="3"/>
  <c r="R98" i="3"/>
  <c r="V98" i="3"/>
  <c r="I100" i="3"/>
  <c r="M100" i="3"/>
  <c r="K100" i="3"/>
  <c r="S100" i="3"/>
  <c r="J100" i="3"/>
  <c r="N100" i="3"/>
  <c r="R100" i="3"/>
  <c r="V100" i="3"/>
  <c r="U101" i="3"/>
  <c r="W101" i="3"/>
  <c r="P101" i="3"/>
  <c r="I102" i="3"/>
  <c r="M102" i="3"/>
  <c r="K102" i="3"/>
  <c r="S102" i="3"/>
  <c r="J102" i="3"/>
  <c r="N102" i="3"/>
  <c r="R102" i="3"/>
  <c r="I104" i="3"/>
  <c r="M104" i="3"/>
  <c r="K104" i="3"/>
  <c r="S104" i="3"/>
  <c r="J104" i="3"/>
  <c r="N104" i="3"/>
  <c r="R104" i="3"/>
  <c r="Q105" i="3"/>
  <c r="U105" i="3"/>
  <c r="O105" i="3"/>
  <c r="W105" i="3"/>
  <c r="L105" i="3"/>
  <c r="P105" i="3"/>
  <c r="T105" i="3"/>
  <c r="I106" i="3"/>
  <c r="M106" i="3"/>
  <c r="K106" i="3"/>
  <c r="S106" i="3"/>
  <c r="J106" i="3"/>
  <c r="N106" i="3"/>
  <c r="R106" i="3"/>
  <c r="T92" i="3"/>
  <c r="X92" i="3"/>
  <c r="N92" i="3"/>
  <c r="V92" i="3"/>
  <c r="K92" i="3"/>
  <c r="O92" i="3"/>
  <c r="S92" i="3"/>
  <c r="L93" i="3"/>
  <c r="P93" i="3"/>
  <c r="J93" i="3"/>
  <c r="R93" i="3"/>
  <c r="I93" i="3"/>
  <c r="M93" i="3"/>
  <c r="Q93" i="3"/>
  <c r="T94" i="3"/>
  <c r="X94" i="3"/>
  <c r="N94" i="3"/>
  <c r="V94" i="3"/>
  <c r="K94" i="3"/>
  <c r="O94" i="3"/>
  <c r="S94" i="3"/>
  <c r="L95" i="3"/>
  <c r="P95" i="3"/>
  <c r="J95" i="3"/>
  <c r="R95" i="3"/>
  <c r="I95" i="3"/>
  <c r="M95" i="3"/>
  <c r="Q95" i="3"/>
  <c r="Q96" i="3"/>
  <c r="N96" i="3"/>
  <c r="I96" i="3"/>
  <c r="M96" i="3"/>
  <c r="S96" i="3"/>
  <c r="P96" i="3"/>
  <c r="T96" i="3"/>
  <c r="I97" i="3"/>
  <c r="M97" i="3"/>
  <c r="K97" i="3"/>
  <c r="S97" i="3"/>
  <c r="J97" i="3"/>
  <c r="N97" i="3"/>
  <c r="R97" i="3"/>
  <c r="Q98" i="3"/>
  <c r="U98" i="3"/>
  <c r="O98" i="3"/>
  <c r="W98" i="3"/>
  <c r="L98" i="3"/>
  <c r="P98" i="3"/>
  <c r="T98" i="3"/>
  <c r="I99" i="3"/>
  <c r="M99" i="3"/>
  <c r="K99" i="3"/>
  <c r="S99" i="3"/>
  <c r="J99" i="3"/>
  <c r="N99" i="3"/>
  <c r="R99" i="3"/>
  <c r="Q100" i="3"/>
  <c r="U100" i="3"/>
  <c r="O100" i="3"/>
  <c r="W100" i="3"/>
  <c r="L100" i="3"/>
  <c r="P100" i="3"/>
  <c r="T100" i="3"/>
  <c r="AE25" i="14"/>
  <c r="Y11" i="14"/>
  <c r="AE11" i="14" s="1"/>
  <c r="AA47" i="14"/>
  <c r="AG47" i="14" s="1"/>
  <c r="AA48" i="14"/>
  <c r="AG48" i="14" s="1"/>
  <c r="AE52" i="14"/>
  <c r="AE17" i="14"/>
  <c r="C10" i="34"/>
  <c r="C12" i="34" s="1"/>
  <c r="A9" i="9"/>
  <c r="AE40" i="14"/>
  <c r="AG43" i="14"/>
  <c r="AA55" i="14"/>
  <c r="AA57" i="14"/>
  <c r="B10" i="34"/>
  <c r="B12" i="34" s="1"/>
  <c r="AA56" i="14"/>
  <c r="AG56" i="14" s="1"/>
  <c r="AA24" i="14"/>
  <c r="AG24" i="14" s="1"/>
  <c r="AC35" i="14"/>
  <c r="AE36" i="14"/>
  <c r="AE34" i="14"/>
  <c r="Y47" i="14"/>
  <c r="AE47" i="14" s="1"/>
  <c r="AE24" i="14"/>
  <c r="AA23" i="14"/>
  <c r="AG23" i="14" s="1"/>
  <c r="AC22" i="14"/>
  <c r="AA21" i="14"/>
  <c r="AG21" i="14" s="1"/>
  <c r="AC21" i="14"/>
  <c r="AG20" i="14"/>
  <c r="AE35" i="14"/>
  <c r="AG55" i="14"/>
  <c r="AG57" i="14"/>
  <c r="AE46" i="14"/>
  <c r="AA63" i="14"/>
  <c r="AG63" i="14" s="1"/>
  <c r="AA65" i="14"/>
  <c r="AG65" i="14" s="1"/>
  <c r="AA68" i="14"/>
  <c r="AG68" i="14" s="1"/>
  <c r="AA89" i="14"/>
  <c r="AG89" i="14" s="1"/>
  <c r="AG81" i="14"/>
  <c r="AG70" i="14"/>
  <c r="AG79" i="14"/>
  <c r="AA70" i="14"/>
  <c r="AA73" i="14"/>
  <c r="AG73" i="14" s="1"/>
  <c r="AA76" i="14"/>
  <c r="AG76" i="14" s="1"/>
  <c r="AA77" i="14"/>
  <c r="AG77" i="14" s="1"/>
  <c r="AA79" i="14"/>
  <c r="AA81" i="14"/>
  <c r="AA84" i="14"/>
  <c r="AG84" i="14" s="1"/>
  <c r="AE88" i="14"/>
  <c r="AE69" i="14"/>
  <c r="AE71" i="14"/>
  <c r="AE72" i="14"/>
  <c r="AE75" i="14"/>
  <c r="AQ106" i="12"/>
  <c r="AQ105" i="12"/>
  <c r="AQ104" i="12"/>
  <c r="AQ103" i="12"/>
  <c r="AQ102" i="12"/>
  <c r="AQ101" i="12"/>
  <c r="AQ100" i="12"/>
  <c r="AQ99" i="12"/>
  <c r="AQ98" i="12"/>
  <c r="AQ97" i="12"/>
  <c r="AQ96" i="12"/>
  <c r="AQ95" i="12"/>
  <c r="AQ94" i="12"/>
  <c r="AQ93" i="12"/>
  <c r="AQ92" i="12"/>
  <c r="AQ91" i="12"/>
  <c r="AQ90" i="12"/>
  <c r="AQ89" i="12"/>
  <c r="AQ88" i="12"/>
  <c r="AQ87" i="12"/>
  <c r="AQ86" i="12"/>
  <c r="AQ85" i="12"/>
  <c r="AQ84" i="12"/>
  <c r="AQ83" i="12"/>
  <c r="AQ82" i="12"/>
  <c r="AQ81" i="12"/>
  <c r="AQ80" i="12"/>
  <c r="AQ79" i="12"/>
  <c r="AQ78" i="12"/>
  <c r="AQ77" i="12"/>
  <c r="AQ76" i="12"/>
  <c r="AQ75" i="12"/>
  <c r="AQ74" i="12"/>
  <c r="AQ73" i="12"/>
  <c r="AQ72" i="12"/>
  <c r="AQ71" i="12"/>
  <c r="AQ70" i="12"/>
  <c r="AQ69" i="12"/>
  <c r="AQ68" i="12"/>
  <c r="AQ67" i="12"/>
  <c r="AQ66" i="12"/>
  <c r="AQ65" i="12"/>
  <c r="AQ64" i="12"/>
  <c r="AQ63" i="12"/>
  <c r="AQ62" i="12"/>
  <c r="AQ61" i="12"/>
  <c r="AQ60" i="12"/>
  <c r="AQ59" i="12"/>
  <c r="AQ58" i="12"/>
  <c r="AQ57" i="12"/>
  <c r="AQ56" i="12"/>
  <c r="AQ55" i="12"/>
  <c r="AQ54" i="12"/>
  <c r="AQ53" i="12"/>
  <c r="AQ52" i="12"/>
  <c r="AQ51" i="12"/>
  <c r="AQ50" i="12"/>
  <c r="AQ49" i="12"/>
  <c r="AQ48" i="12"/>
  <c r="AQ47" i="12"/>
  <c r="AQ46" i="12"/>
  <c r="AQ45" i="12"/>
  <c r="AQ44" i="12"/>
  <c r="AQ43" i="12"/>
  <c r="AQ42" i="12"/>
  <c r="AQ41" i="12"/>
  <c r="AQ40" i="12"/>
  <c r="AQ39" i="12"/>
  <c r="AQ38" i="12"/>
  <c r="AQ37" i="12"/>
  <c r="AQ36" i="12"/>
  <c r="AQ35" i="12"/>
  <c r="AQ34" i="12"/>
  <c r="AQ33" i="12"/>
  <c r="AQ32" i="12"/>
  <c r="AQ31" i="12"/>
  <c r="AQ30" i="12"/>
  <c r="AQ29" i="12"/>
  <c r="AQ28" i="12"/>
  <c r="AQ27" i="12"/>
  <c r="AQ26" i="12"/>
  <c r="AQ25" i="12"/>
  <c r="AQ24" i="12"/>
  <c r="AQ23" i="12"/>
  <c r="AQ22" i="12"/>
  <c r="AQ21" i="12"/>
  <c r="AQ20" i="12"/>
  <c r="AQ19" i="12"/>
  <c r="AQ18" i="12"/>
  <c r="AQ17" i="12"/>
  <c r="AQ16" i="12"/>
  <c r="AQ15" i="12"/>
  <c r="AQ14" i="12"/>
  <c r="AQ13" i="12"/>
  <c r="AQ12" i="12"/>
  <c r="AQ11" i="12"/>
  <c r="AQ10" i="12"/>
  <c r="AQ9" i="12"/>
  <c r="AQ8" i="12"/>
  <c r="V103" i="3" l="1"/>
  <c r="T101" i="3"/>
  <c r="L101" i="3"/>
  <c r="O101" i="3"/>
  <c r="Q101" i="3"/>
  <c r="V101" i="3"/>
  <c r="N101" i="3"/>
  <c r="S101" i="3"/>
  <c r="M101" i="3"/>
  <c r="W103" i="3"/>
  <c r="S103" i="3"/>
  <c r="P103" i="3"/>
  <c r="U103" i="3"/>
  <c r="N103" i="3"/>
  <c r="M103" i="3"/>
  <c r="T103" i="3"/>
  <c r="L103" i="3"/>
  <c r="O103" i="3"/>
  <c r="Q103" i="3"/>
  <c r="R103" i="3"/>
  <c r="J103" i="3"/>
  <c r="K103" i="3"/>
  <c r="I103" i="3"/>
  <c r="B13" i="34"/>
  <c r="A10" i="9"/>
  <c r="R38" i="34"/>
  <c r="AM30" i="34" s="1"/>
  <c r="Q15" i="34"/>
  <c r="R15" i="34"/>
  <c r="S15" i="34"/>
  <c r="T15" i="34"/>
  <c r="Q16" i="34"/>
  <c r="R16" i="34"/>
  <c r="S16" i="34"/>
  <c r="T16" i="34"/>
  <c r="Q17" i="34"/>
  <c r="R17" i="34"/>
  <c r="S17" i="34"/>
  <c r="T17" i="34"/>
  <c r="Q18" i="34"/>
  <c r="R18" i="34"/>
  <c r="S18" i="34"/>
  <c r="T18" i="34"/>
  <c r="Q19" i="34"/>
  <c r="R19" i="34"/>
  <c r="S19" i="34"/>
  <c r="T19" i="34"/>
  <c r="Q20" i="34"/>
  <c r="R20" i="34"/>
  <c r="S20" i="34"/>
  <c r="T20" i="34"/>
  <c r="Q21" i="34"/>
  <c r="R21" i="34"/>
  <c r="S21" i="34"/>
  <c r="T21" i="34"/>
  <c r="Q22" i="34"/>
  <c r="R22" i="34"/>
  <c r="S22" i="34"/>
  <c r="T22" i="34"/>
  <c r="Q23" i="34"/>
  <c r="R23" i="34"/>
  <c r="S23" i="34"/>
  <c r="T23" i="34"/>
  <c r="Q24" i="34"/>
  <c r="R24" i="34"/>
  <c r="S24" i="34"/>
  <c r="T24" i="34"/>
  <c r="Q25" i="34"/>
  <c r="R25" i="34"/>
  <c r="S25" i="34"/>
  <c r="T25" i="34"/>
  <c r="Q26" i="34"/>
  <c r="R26" i="34"/>
  <c r="S26" i="34"/>
  <c r="T26" i="34"/>
  <c r="Q27" i="34"/>
  <c r="R27" i="34"/>
  <c r="S27" i="34"/>
  <c r="T27" i="34"/>
  <c r="Q28" i="34"/>
  <c r="R28" i="34"/>
  <c r="S28" i="34"/>
  <c r="T28" i="34"/>
  <c r="Q29" i="34"/>
  <c r="R29" i="34"/>
  <c r="S29" i="34"/>
  <c r="T29" i="34"/>
  <c r="Q30" i="34"/>
  <c r="R30" i="34"/>
  <c r="S30" i="34"/>
  <c r="T30" i="34"/>
  <c r="Q31" i="34"/>
  <c r="R31" i="34"/>
  <c r="S31" i="34"/>
  <c r="T31" i="34"/>
  <c r="Q32" i="34"/>
  <c r="R32" i="34"/>
  <c r="S32" i="34"/>
  <c r="T32" i="34"/>
  <c r="Q33" i="34"/>
  <c r="R33" i="34"/>
  <c r="S33" i="34"/>
  <c r="T33" i="34"/>
  <c r="Q34" i="34"/>
  <c r="R34" i="34"/>
  <c r="S34" i="34"/>
  <c r="T34" i="34"/>
  <c r="Q35" i="34"/>
  <c r="R35" i="34"/>
  <c r="S35" i="34"/>
  <c r="T35" i="34"/>
  <c r="T14" i="34"/>
  <c r="S14" i="34"/>
  <c r="R14" i="34"/>
  <c r="Q14" i="34"/>
  <c r="T13" i="34"/>
  <c r="S13" i="34"/>
  <c r="R13" i="34"/>
  <c r="Q13" i="34"/>
  <c r="B107" i="34"/>
  <c r="G104" i="34"/>
  <c r="H104" i="34" s="1"/>
  <c r="F104" i="34"/>
  <c r="E104" i="34"/>
  <c r="D104" i="34"/>
  <c r="B104" i="34" s="1"/>
  <c r="G103" i="34"/>
  <c r="H103" i="34" s="1"/>
  <c r="F103" i="34"/>
  <c r="E103" i="34"/>
  <c r="D103" i="34"/>
  <c r="B103" i="34" s="1"/>
  <c r="G102" i="34"/>
  <c r="H102" i="34" s="1"/>
  <c r="F102" i="34"/>
  <c r="E102" i="34"/>
  <c r="D102" i="34"/>
  <c r="B102" i="34" s="1"/>
  <c r="G101" i="34"/>
  <c r="H101" i="34" s="1"/>
  <c r="F101" i="34"/>
  <c r="E101" i="34"/>
  <c r="D101" i="34"/>
  <c r="B101" i="34" s="1"/>
  <c r="G100" i="34"/>
  <c r="H100" i="34" s="1"/>
  <c r="F100" i="34"/>
  <c r="E100" i="34"/>
  <c r="D100" i="34"/>
  <c r="B100" i="34" s="1"/>
  <c r="G99" i="34"/>
  <c r="H99" i="34" s="1"/>
  <c r="F99" i="34"/>
  <c r="E99" i="34"/>
  <c r="D99" i="34"/>
  <c r="B99" i="34" s="1"/>
  <c r="G98" i="34"/>
  <c r="H98" i="34" s="1"/>
  <c r="F98" i="34"/>
  <c r="E98" i="34"/>
  <c r="D98" i="34"/>
  <c r="B98" i="34" s="1"/>
  <c r="G97" i="34"/>
  <c r="H97" i="34" s="1"/>
  <c r="F97" i="34"/>
  <c r="E97" i="34"/>
  <c r="D97" i="34"/>
  <c r="B97" i="34" s="1"/>
  <c r="G96" i="34"/>
  <c r="H96" i="34" s="1"/>
  <c r="F96" i="34"/>
  <c r="E96" i="34"/>
  <c r="D96" i="34"/>
  <c r="B96" i="34" s="1"/>
  <c r="G95" i="34"/>
  <c r="H95" i="34" s="1"/>
  <c r="F95" i="34"/>
  <c r="E95" i="34"/>
  <c r="D95" i="34"/>
  <c r="B95" i="34" s="1"/>
  <c r="G94" i="34"/>
  <c r="H94" i="34" s="1"/>
  <c r="F94" i="34"/>
  <c r="E94" i="34"/>
  <c r="D94" i="34"/>
  <c r="B94" i="34" s="1"/>
  <c r="G93" i="34"/>
  <c r="H93" i="34" s="1"/>
  <c r="F93" i="34"/>
  <c r="E93" i="34"/>
  <c r="D93" i="34"/>
  <c r="B93" i="34" s="1"/>
  <c r="G92" i="34"/>
  <c r="H92" i="34" s="1"/>
  <c r="F92" i="34"/>
  <c r="E92" i="34"/>
  <c r="D92" i="34"/>
  <c r="B92" i="34" s="1"/>
  <c r="G91" i="34"/>
  <c r="H91" i="34" s="1"/>
  <c r="F91" i="34"/>
  <c r="E91" i="34"/>
  <c r="D91" i="34"/>
  <c r="B91" i="34" s="1"/>
  <c r="G90" i="34"/>
  <c r="H90" i="34" s="1"/>
  <c r="F90" i="34"/>
  <c r="E90" i="34"/>
  <c r="D90" i="34"/>
  <c r="B90" i="34" s="1"/>
  <c r="G89" i="34"/>
  <c r="H89" i="34" s="1"/>
  <c r="F89" i="34"/>
  <c r="E89" i="34"/>
  <c r="D89" i="34"/>
  <c r="G88" i="34"/>
  <c r="H88" i="34" s="1"/>
  <c r="F88" i="34"/>
  <c r="E88" i="34"/>
  <c r="D88" i="34"/>
  <c r="G87" i="34"/>
  <c r="H87" i="34" s="1"/>
  <c r="F87" i="34"/>
  <c r="E87" i="34"/>
  <c r="D87" i="34"/>
  <c r="G86" i="34"/>
  <c r="H86" i="34" s="1"/>
  <c r="F86" i="34"/>
  <c r="E86" i="34"/>
  <c r="D86" i="34"/>
  <c r="G85" i="34"/>
  <c r="H85" i="34" s="1"/>
  <c r="F85" i="34"/>
  <c r="E85" i="34"/>
  <c r="D85" i="34"/>
  <c r="G84" i="34"/>
  <c r="H84" i="34" s="1"/>
  <c r="F84" i="34"/>
  <c r="E84" i="34"/>
  <c r="D84" i="34"/>
  <c r="G83" i="34"/>
  <c r="H83" i="34" s="1"/>
  <c r="F83" i="34"/>
  <c r="E83" i="34"/>
  <c r="D83" i="34"/>
  <c r="G82" i="34"/>
  <c r="H82" i="34" s="1"/>
  <c r="F82" i="34"/>
  <c r="E82" i="34"/>
  <c r="D82" i="34"/>
  <c r="C82" i="34" s="1"/>
  <c r="G81" i="34"/>
  <c r="H81" i="34" s="1"/>
  <c r="F81" i="34"/>
  <c r="E81" i="34"/>
  <c r="D81" i="34"/>
  <c r="G80" i="34"/>
  <c r="H80" i="34" s="1"/>
  <c r="F80" i="34"/>
  <c r="E80" i="34"/>
  <c r="D80" i="34"/>
  <c r="G79" i="34"/>
  <c r="H79" i="34" s="1"/>
  <c r="F79" i="34"/>
  <c r="E79" i="34"/>
  <c r="D79" i="34"/>
  <c r="G78" i="34"/>
  <c r="H78" i="34" s="1"/>
  <c r="F78" i="34"/>
  <c r="E78" i="34"/>
  <c r="D78" i="34"/>
  <c r="G77" i="34"/>
  <c r="H77" i="34" s="1"/>
  <c r="F77" i="34"/>
  <c r="E77" i="34"/>
  <c r="D77" i="34"/>
  <c r="G76" i="34"/>
  <c r="H76" i="34" s="1"/>
  <c r="F76" i="34"/>
  <c r="E76" i="34"/>
  <c r="D76" i="34"/>
  <c r="G75" i="34"/>
  <c r="H75" i="34" s="1"/>
  <c r="F75" i="34"/>
  <c r="E75" i="34"/>
  <c r="D75" i="34"/>
  <c r="G74" i="34"/>
  <c r="H74" i="34" s="1"/>
  <c r="F74" i="34"/>
  <c r="E74" i="34"/>
  <c r="D74" i="34"/>
  <c r="G73" i="34"/>
  <c r="H73" i="34" s="1"/>
  <c r="F73" i="34"/>
  <c r="E73" i="34"/>
  <c r="D73" i="34"/>
  <c r="G72" i="34"/>
  <c r="H72" i="34" s="1"/>
  <c r="F72" i="34"/>
  <c r="E72" i="34"/>
  <c r="D72" i="34"/>
  <c r="G71" i="34"/>
  <c r="H71" i="34" s="1"/>
  <c r="F71" i="34"/>
  <c r="E71" i="34"/>
  <c r="D71" i="34"/>
  <c r="G70" i="34"/>
  <c r="H70" i="34" s="1"/>
  <c r="F70" i="34"/>
  <c r="E70" i="34"/>
  <c r="D70" i="34"/>
  <c r="G69" i="34"/>
  <c r="H69" i="34" s="1"/>
  <c r="F69" i="34"/>
  <c r="E69" i="34"/>
  <c r="D69" i="34"/>
  <c r="G68" i="34"/>
  <c r="H68" i="34" s="1"/>
  <c r="F68" i="34"/>
  <c r="E68" i="34"/>
  <c r="D68" i="34"/>
  <c r="G67" i="34"/>
  <c r="H67" i="34" s="1"/>
  <c r="F67" i="34"/>
  <c r="E67" i="34"/>
  <c r="D67" i="34"/>
  <c r="G66" i="34"/>
  <c r="H66" i="34" s="1"/>
  <c r="F66" i="34"/>
  <c r="E66" i="34"/>
  <c r="D66" i="34"/>
  <c r="G65" i="34"/>
  <c r="H65" i="34" s="1"/>
  <c r="F65" i="34"/>
  <c r="E65" i="34"/>
  <c r="D65" i="34"/>
  <c r="C65" i="34" s="1"/>
  <c r="G64" i="34"/>
  <c r="H64" i="34" s="1"/>
  <c r="F64" i="34"/>
  <c r="E64" i="34"/>
  <c r="D64" i="34"/>
  <c r="G63" i="34"/>
  <c r="H63" i="34" s="1"/>
  <c r="F63" i="34"/>
  <c r="E63" i="34"/>
  <c r="D63" i="34"/>
  <c r="G62" i="34"/>
  <c r="H62" i="34" s="1"/>
  <c r="F62" i="34"/>
  <c r="E62" i="34"/>
  <c r="D62" i="34"/>
  <c r="G61" i="34"/>
  <c r="H61" i="34" s="1"/>
  <c r="F61" i="34"/>
  <c r="E61" i="34"/>
  <c r="D61" i="34"/>
  <c r="G60" i="34"/>
  <c r="H60" i="34" s="1"/>
  <c r="F60" i="34"/>
  <c r="E60" i="34"/>
  <c r="D60" i="34"/>
  <c r="G59" i="34"/>
  <c r="H59" i="34" s="1"/>
  <c r="F59" i="34"/>
  <c r="E59" i="34"/>
  <c r="D59" i="34"/>
  <c r="G58" i="34"/>
  <c r="H58" i="34" s="1"/>
  <c r="F58" i="34"/>
  <c r="E58" i="34"/>
  <c r="D58" i="34"/>
  <c r="G57" i="34"/>
  <c r="H57" i="34" s="1"/>
  <c r="F57" i="34"/>
  <c r="E57" i="34"/>
  <c r="D57" i="34"/>
  <c r="G56" i="34"/>
  <c r="H56" i="34" s="1"/>
  <c r="F56" i="34"/>
  <c r="E56" i="34"/>
  <c r="D56" i="34"/>
  <c r="G55" i="34"/>
  <c r="H55" i="34" s="1"/>
  <c r="F55" i="34"/>
  <c r="E55" i="34"/>
  <c r="D55" i="34"/>
  <c r="G54" i="34"/>
  <c r="H54" i="34" s="1"/>
  <c r="F54" i="34"/>
  <c r="E54" i="34"/>
  <c r="D54" i="34"/>
  <c r="G53" i="34"/>
  <c r="H53" i="34" s="1"/>
  <c r="F53" i="34"/>
  <c r="E53" i="34"/>
  <c r="D53" i="34"/>
  <c r="G52" i="34"/>
  <c r="H52" i="34" s="1"/>
  <c r="F52" i="34"/>
  <c r="E52" i="34"/>
  <c r="D52" i="34"/>
  <c r="G51" i="34"/>
  <c r="H51" i="34" s="1"/>
  <c r="F51" i="34"/>
  <c r="E51" i="34"/>
  <c r="D51" i="34"/>
  <c r="G50" i="34"/>
  <c r="H50" i="34" s="1"/>
  <c r="F50" i="34"/>
  <c r="E50" i="34"/>
  <c r="D50" i="34"/>
  <c r="G49" i="34"/>
  <c r="H49" i="34" s="1"/>
  <c r="F49" i="34"/>
  <c r="E49" i="34"/>
  <c r="D49" i="34"/>
  <c r="G48" i="34"/>
  <c r="H48" i="34" s="1"/>
  <c r="F48" i="34"/>
  <c r="E48" i="34"/>
  <c r="D48" i="34"/>
  <c r="C48" i="34" s="1"/>
  <c r="G47" i="34"/>
  <c r="H47" i="34" s="1"/>
  <c r="F47" i="34"/>
  <c r="E47" i="34"/>
  <c r="D47" i="34"/>
  <c r="G46" i="34"/>
  <c r="H46" i="34" s="1"/>
  <c r="F46" i="34"/>
  <c r="E46" i="34"/>
  <c r="D46" i="34"/>
  <c r="G45" i="34"/>
  <c r="H45" i="34" s="1"/>
  <c r="F45" i="34"/>
  <c r="E45" i="34"/>
  <c r="D45" i="34"/>
  <c r="G44" i="34"/>
  <c r="H44" i="34" s="1"/>
  <c r="F44" i="34"/>
  <c r="E44" i="34"/>
  <c r="D44" i="34"/>
  <c r="G43" i="34"/>
  <c r="H43" i="34" s="1"/>
  <c r="F43" i="34"/>
  <c r="E43" i="34"/>
  <c r="D43" i="34"/>
  <c r="G42" i="34"/>
  <c r="H42" i="34" s="1"/>
  <c r="F42" i="34"/>
  <c r="E42" i="34"/>
  <c r="D42" i="34"/>
  <c r="G41" i="34"/>
  <c r="H41" i="34" s="1"/>
  <c r="F41" i="34"/>
  <c r="E41" i="34"/>
  <c r="D41" i="34"/>
  <c r="C41" i="34" s="1"/>
  <c r="G40" i="34"/>
  <c r="H40" i="34" s="1"/>
  <c r="F40" i="34"/>
  <c r="E40" i="34"/>
  <c r="D40" i="34"/>
  <c r="G39" i="34"/>
  <c r="H39" i="34" s="1"/>
  <c r="F39" i="34"/>
  <c r="E39" i="34"/>
  <c r="D39" i="34"/>
  <c r="G38" i="34"/>
  <c r="H38" i="34" s="1"/>
  <c r="F38" i="34"/>
  <c r="E38" i="34"/>
  <c r="D38" i="34"/>
  <c r="G37" i="34"/>
  <c r="H37" i="34" s="1"/>
  <c r="F37" i="34"/>
  <c r="E37" i="34"/>
  <c r="D37" i="34"/>
  <c r="G36" i="34"/>
  <c r="H36" i="34" s="1"/>
  <c r="F36" i="34"/>
  <c r="E36" i="34"/>
  <c r="D36" i="34"/>
  <c r="G35" i="34"/>
  <c r="H35" i="34" s="1"/>
  <c r="F35" i="34"/>
  <c r="E35" i="34"/>
  <c r="D35" i="34"/>
  <c r="G34" i="34"/>
  <c r="H34" i="34" s="1"/>
  <c r="F34" i="34"/>
  <c r="E34" i="34"/>
  <c r="D34" i="34"/>
  <c r="G33" i="34"/>
  <c r="H33" i="34" s="1"/>
  <c r="F33" i="34"/>
  <c r="E33" i="34"/>
  <c r="D33" i="34"/>
  <c r="G32" i="34"/>
  <c r="H32" i="34" s="1"/>
  <c r="F32" i="34"/>
  <c r="E32" i="34"/>
  <c r="D32" i="34"/>
  <c r="C32" i="34" s="1"/>
  <c r="G31" i="34"/>
  <c r="H31" i="34" s="1"/>
  <c r="F31" i="34"/>
  <c r="E31" i="34"/>
  <c r="D31" i="34"/>
  <c r="G30" i="34"/>
  <c r="H30" i="34" s="1"/>
  <c r="F30" i="34"/>
  <c r="E30" i="34"/>
  <c r="D30" i="34"/>
  <c r="G29" i="34"/>
  <c r="H29" i="34" s="1"/>
  <c r="F29" i="34"/>
  <c r="E29" i="34"/>
  <c r="D29" i="34"/>
  <c r="G28" i="34"/>
  <c r="H28" i="34" s="1"/>
  <c r="F28" i="34"/>
  <c r="E28" i="34"/>
  <c r="D28" i="34"/>
  <c r="G27" i="34"/>
  <c r="H27" i="34" s="1"/>
  <c r="F27" i="34"/>
  <c r="E27" i="34"/>
  <c r="D27" i="34"/>
  <c r="G26" i="34"/>
  <c r="H26" i="34" s="1"/>
  <c r="F26" i="34"/>
  <c r="E26" i="34"/>
  <c r="D26" i="34"/>
  <c r="G25" i="34"/>
  <c r="H25" i="34" s="1"/>
  <c r="F25" i="34"/>
  <c r="E25" i="34"/>
  <c r="D25" i="34"/>
  <c r="G24" i="34"/>
  <c r="H24" i="34" s="1"/>
  <c r="F24" i="34"/>
  <c r="E24" i="34"/>
  <c r="D24" i="34"/>
  <c r="G23" i="34"/>
  <c r="H23" i="34" s="1"/>
  <c r="F23" i="34"/>
  <c r="E23" i="34"/>
  <c r="D23" i="34"/>
  <c r="G22" i="34"/>
  <c r="H22" i="34" s="1"/>
  <c r="F22" i="34"/>
  <c r="E22" i="34"/>
  <c r="D22" i="34"/>
  <c r="G21" i="34"/>
  <c r="H21" i="34" s="1"/>
  <c r="F21" i="34"/>
  <c r="E21" i="34"/>
  <c r="D21" i="34"/>
  <c r="G20" i="34"/>
  <c r="H20" i="34" s="1"/>
  <c r="F20" i="34"/>
  <c r="E20" i="34"/>
  <c r="D20" i="34"/>
  <c r="G19" i="34"/>
  <c r="H19" i="34" s="1"/>
  <c r="F19" i="34"/>
  <c r="E19" i="34"/>
  <c r="D19" i="34"/>
  <c r="G18" i="34"/>
  <c r="H18" i="34" s="1"/>
  <c r="F18" i="34"/>
  <c r="E18" i="34"/>
  <c r="D18" i="34"/>
  <c r="C18" i="34" s="1"/>
  <c r="G17" i="34"/>
  <c r="H17" i="34" s="1"/>
  <c r="F17" i="34"/>
  <c r="E17" i="34"/>
  <c r="D17" i="34"/>
  <c r="G16" i="34"/>
  <c r="F16" i="34"/>
  <c r="E16" i="34"/>
  <c r="D16" i="34"/>
  <c r="G15" i="34"/>
  <c r="F15" i="34"/>
  <c r="E15" i="34"/>
  <c r="D15" i="34"/>
  <c r="G14" i="34"/>
  <c r="F14" i="34"/>
  <c r="E14" i="34"/>
  <c r="D14" i="34"/>
  <c r="C14" i="34" s="1"/>
  <c r="X24" i="34" l="1"/>
  <c r="Z24" i="34" s="1"/>
  <c r="X25" i="34"/>
  <c r="Z25" i="34" s="1"/>
  <c r="X23" i="34"/>
  <c r="K24" i="34"/>
  <c r="P15" i="38" s="1"/>
  <c r="K25" i="34"/>
  <c r="Q15" i="38" s="1"/>
  <c r="K23" i="34"/>
  <c r="O15" i="38" s="1"/>
  <c r="X29" i="34"/>
  <c r="Z29" i="34" s="1"/>
  <c r="X27" i="34"/>
  <c r="Z27" i="34" s="1"/>
  <c r="Z23" i="34"/>
  <c r="X21" i="34"/>
  <c r="Z21" i="34" s="1"/>
  <c r="X19" i="34"/>
  <c r="Z19" i="34" s="1"/>
  <c r="X16" i="34"/>
  <c r="Z16" i="34" s="1"/>
  <c r="X14" i="34"/>
  <c r="Z14" i="34" s="1"/>
  <c r="X28" i="34"/>
  <c r="Z28" i="34" s="1"/>
  <c r="X26" i="34"/>
  <c r="Z26" i="34" s="1"/>
  <c r="X22" i="34"/>
  <c r="Z22" i="34" s="1"/>
  <c r="X20" i="34"/>
  <c r="Z20" i="34" s="1"/>
  <c r="X17" i="34"/>
  <c r="Z17" i="34" s="1"/>
  <c r="X15" i="34"/>
  <c r="Z15" i="34" s="1"/>
  <c r="X13" i="34"/>
  <c r="Z13" i="34" s="1"/>
  <c r="C15" i="34"/>
  <c r="C16" i="34" s="1"/>
  <c r="C17" i="34" s="1"/>
  <c r="C19" i="34"/>
  <c r="B31" i="34"/>
  <c r="C31" i="34"/>
  <c r="C33" i="34"/>
  <c r="C34" i="34" s="1"/>
  <c r="C42" i="34"/>
  <c r="C43" i="34" s="1"/>
  <c r="C44" i="34" s="1"/>
  <c r="C45" i="34" s="1"/>
  <c r="C46" i="34" s="1"/>
  <c r="B47" i="34"/>
  <c r="C47" i="34"/>
  <c r="C49" i="34"/>
  <c r="C50" i="34" s="1"/>
  <c r="C51" i="34" s="1"/>
  <c r="B58" i="34"/>
  <c r="C58" i="34"/>
  <c r="B61" i="34"/>
  <c r="C61" i="34"/>
  <c r="B63" i="34"/>
  <c r="C63" i="34"/>
  <c r="B64" i="34"/>
  <c r="C64" i="34"/>
  <c r="C66" i="34"/>
  <c r="C67" i="34" s="1"/>
  <c r="C68" i="34" s="1"/>
  <c r="B80" i="34"/>
  <c r="C80" i="34"/>
  <c r="B81" i="34"/>
  <c r="C81" i="34"/>
  <c r="C83" i="34"/>
  <c r="C84" i="34" s="1"/>
  <c r="B14" i="34"/>
  <c r="B15" i="34" s="1"/>
  <c r="B16" i="34" s="1"/>
  <c r="A11" i="9"/>
  <c r="A12" i="9" s="1"/>
  <c r="U14" i="34"/>
  <c r="G33" i="37" s="1"/>
  <c r="U35" i="34"/>
  <c r="AA35" i="34" s="1"/>
  <c r="U27" i="34"/>
  <c r="P33" i="37" s="1"/>
  <c r="U23" i="34"/>
  <c r="U19" i="34"/>
  <c r="B33" i="37" s="1"/>
  <c r="U31" i="34"/>
  <c r="AA31" i="34" s="1"/>
  <c r="U15" i="34"/>
  <c r="H33" i="37" s="1"/>
  <c r="U13" i="34"/>
  <c r="U34" i="34"/>
  <c r="AA34" i="34" s="1"/>
  <c r="U33" i="34"/>
  <c r="AA33" i="34" s="1"/>
  <c r="U32" i="34"/>
  <c r="AA32" i="34" s="1"/>
  <c r="U30" i="34"/>
  <c r="AA30" i="34" s="1"/>
  <c r="U29" i="34"/>
  <c r="U28" i="34"/>
  <c r="Q33" i="37" s="1"/>
  <c r="U26" i="34"/>
  <c r="O33" i="37" s="1"/>
  <c r="U25" i="34"/>
  <c r="N33" i="37" s="1"/>
  <c r="U24" i="34"/>
  <c r="U22" i="34"/>
  <c r="U21" i="34"/>
  <c r="U20" i="34"/>
  <c r="C33" i="37" s="1"/>
  <c r="U18" i="34"/>
  <c r="U17" i="34"/>
  <c r="U16" i="34"/>
  <c r="K28" i="34"/>
  <c r="T15" i="38" s="1"/>
  <c r="K16" i="34"/>
  <c r="H15" i="38" s="1"/>
  <c r="K14" i="34"/>
  <c r="F15" i="38" s="1"/>
  <c r="K19" i="34"/>
  <c r="K15" i="38" s="1"/>
  <c r="K21" i="34"/>
  <c r="M15" i="38" s="1"/>
  <c r="K26" i="34"/>
  <c r="R15" i="38" s="1"/>
  <c r="K27" i="34"/>
  <c r="S15" i="38" s="1"/>
  <c r="K29" i="34"/>
  <c r="U15" i="38" s="1"/>
  <c r="K17" i="34"/>
  <c r="I15" i="38" s="1"/>
  <c r="K15" i="34"/>
  <c r="G15" i="38" s="1"/>
  <c r="K13" i="34"/>
  <c r="E15" i="38" s="1"/>
  <c r="K20" i="34"/>
  <c r="L15" i="38" s="1"/>
  <c r="K22" i="34"/>
  <c r="N15" i="38" s="1"/>
  <c r="E105" i="34"/>
  <c r="N35" i="38" l="1"/>
  <c r="N30" i="38"/>
  <c r="E35" i="38"/>
  <c r="E30" i="38"/>
  <c r="I35" i="38"/>
  <c r="I30" i="38"/>
  <c r="S35" i="38"/>
  <c r="S30" i="38"/>
  <c r="M35" i="38"/>
  <c r="M30" i="38"/>
  <c r="F35" i="38"/>
  <c r="F30" i="38"/>
  <c r="T35" i="38"/>
  <c r="T30" i="38"/>
  <c r="Q35" i="38"/>
  <c r="Q30" i="38"/>
  <c r="L35" i="38"/>
  <c r="L30" i="38"/>
  <c r="G35" i="38"/>
  <c r="G30" i="38"/>
  <c r="U35" i="38"/>
  <c r="U30" i="38"/>
  <c r="R35" i="38"/>
  <c r="R30" i="38"/>
  <c r="K35" i="38"/>
  <c r="K30" i="38"/>
  <c r="H35" i="38"/>
  <c r="H30" i="38"/>
  <c r="O35" i="38"/>
  <c r="O30" i="38"/>
  <c r="P35" i="38"/>
  <c r="P30" i="38"/>
  <c r="E19" i="37"/>
  <c r="N18" i="38"/>
  <c r="F19" i="37"/>
  <c r="D15" i="38"/>
  <c r="D18" i="38" s="1"/>
  <c r="E18" i="38"/>
  <c r="J19" i="37"/>
  <c r="I18" i="38"/>
  <c r="P19" i="37"/>
  <c r="S18" i="38"/>
  <c r="D19" i="37"/>
  <c r="M18" i="38"/>
  <c r="G19" i="37"/>
  <c r="F18" i="38"/>
  <c r="Q19" i="37"/>
  <c r="T18" i="38"/>
  <c r="N19" i="37"/>
  <c r="Q18" i="38"/>
  <c r="C19" i="37"/>
  <c r="L18" i="38"/>
  <c r="H19" i="37"/>
  <c r="G18" i="38"/>
  <c r="R19" i="37"/>
  <c r="U18" i="38"/>
  <c r="O19" i="37"/>
  <c r="R18" i="38"/>
  <c r="B19" i="37"/>
  <c r="K18" i="38"/>
  <c r="I19" i="37"/>
  <c r="H18" i="38"/>
  <c r="L19" i="37"/>
  <c r="O18" i="38"/>
  <c r="M19" i="37"/>
  <c r="P18" i="38"/>
  <c r="AA17" i="34"/>
  <c r="AG17" i="34" s="1"/>
  <c r="AI17" i="34" s="1"/>
  <c r="J33" i="37"/>
  <c r="AA22" i="34"/>
  <c r="AG22" i="34" s="1"/>
  <c r="AH22" i="34" s="1"/>
  <c r="E33" i="37"/>
  <c r="AA13" i="34"/>
  <c r="AG13" i="34" s="1"/>
  <c r="AI13" i="34" s="1"/>
  <c r="F33" i="37"/>
  <c r="AA23" i="34"/>
  <c r="AF23" i="34" s="1"/>
  <c r="L33" i="37"/>
  <c r="AA16" i="34"/>
  <c r="AG16" i="34" s="1"/>
  <c r="AH16" i="34" s="1"/>
  <c r="I33" i="37"/>
  <c r="AA21" i="34"/>
  <c r="AG21" i="34" s="1"/>
  <c r="AI21" i="34" s="1"/>
  <c r="D33" i="37"/>
  <c r="AA24" i="34"/>
  <c r="AG24" i="34" s="1"/>
  <c r="AI24" i="34" s="1"/>
  <c r="M33" i="37"/>
  <c r="AA29" i="34"/>
  <c r="AG29" i="34" s="1"/>
  <c r="AH29" i="34" s="1"/>
  <c r="R33" i="37"/>
  <c r="AD20" i="34"/>
  <c r="C34" i="37" s="1"/>
  <c r="AD15" i="34"/>
  <c r="H34" i="37" s="1"/>
  <c r="AD29" i="34"/>
  <c r="R34" i="37" s="1"/>
  <c r="AD26" i="34"/>
  <c r="O34" i="37" s="1"/>
  <c r="AD19" i="34"/>
  <c r="B34" i="37" s="1"/>
  <c r="AD16" i="34"/>
  <c r="I34" i="37" s="1"/>
  <c r="AD23" i="34"/>
  <c r="L34" i="37" s="1"/>
  <c r="AD24" i="34"/>
  <c r="M34" i="37" s="1"/>
  <c r="AD22" i="34"/>
  <c r="E34" i="37" s="1"/>
  <c r="AD17" i="34"/>
  <c r="J34" i="37" s="1"/>
  <c r="AD27" i="34"/>
  <c r="P34" i="37" s="1"/>
  <c r="AD21" i="34"/>
  <c r="D34" i="37" s="1"/>
  <c r="AD14" i="34"/>
  <c r="G34" i="37" s="1"/>
  <c r="AD28" i="34"/>
  <c r="Q34" i="37" s="1"/>
  <c r="AD25" i="34"/>
  <c r="N34" i="37" s="1"/>
  <c r="AD13" i="34"/>
  <c r="F34" i="37" s="1"/>
  <c r="AA26" i="34"/>
  <c r="AG26" i="34" s="1"/>
  <c r="AH26" i="34" s="1"/>
  <c r="AA19" i="34"/>
  <c r="AG19" i="34" s="1"/>
  <c r="AH19" i="34" s="1"/>
  <c r="AA27" i="34"/>
  <c r="AG27" i="34" s="1"/>
  <c r="AI27" i="34" s="1"/>
  <c r="AA14" i="34"/>
  <c r="AG14" i="34" s="1"/>
  <c r="AI14" i="34" s="1"/>
  <c r="AI16" i="34"/>
  <c r="K36" i="34"/>
  <c r="AA25" i="34"/>
  <c r="AA28" i="34"/>
  <c r="AG28" i="34" s="1"/>
  <c r="AI28" i="34" s="1"/>
  <c r="AA15" i="34"/>
  <c r="AA20" i="34"/>
  <c r="AA18" i="34"/>
  <c r="C69" i="34"/>
  <c r="C70" i="34" s="1"/>
  <c r="C71" i="34" s="1"/>
  <c r="C52" i="34"/>
  <c r="C53" i="34" s="1"/>
  <c r="C85" i="34"/>
  <c r="C86" i="34" s="1"/>
  <c r="C35" i="34"/>
  <c r="C36" i="34" s="1"/>
  <c r="C20" i="34"/>
  <c r="A13" i="9"/>
  <c r="A14" i="9" s="1"/>
  <c r="B17" i="34"/>
  <c r="B18" i="34" s="1"/>
  <c r="B19" i="34" s="1"/>
  <c r="AF17" i="34" l="1"/>
  <c r="AG23" i="34"/>
  <c r="AI23" i="34" s="1"/>
  <c r="AF24" i="34"/>
  <c r="AF27" i="34"/>
  <c r="AH27" i="34"/>
  <c r="AF16" i="34"/>
  <c r="AH21" i="34"/>
  <c r="AH17" i="34"/>
  <c r="AH13" i="34"/>
  <c r="M37" i="37"/>
  <c r="P33" i="38"/>
  <c r="L37" i="37"/>
  <c r="O33" i="38"/>
  <c r="I38" i="37"/>
  <c r="H38" i="38"/>
  <c r="B37" i="37"/>
  <c r="K33" i="38"/>
  <c r="O37" i="37"/>
  <c r="R33" i="38"/>
  <c r="R38" i="37"/>
  <c r="U38" i="38"/>
  <c r="H37" i="37"/>
  <c r="G33" i="38"/>
  <c r="C37" i="37"/>
  <c r="L33" i="38"/>
  <c r="N38" i="37"/>
  <c r="Q38" i="38"/>
  <c r="Q37" i="37"/>
  <c r="T33" i="38"/>
  <c r="G38" i="37"/>
  <c r="F38" i="38"/>
  <c r="D38" i="37"/>
  <c r="M38" i="38"/>
  <c r="P37" i="37"/>
  <c r="S33" i="38"/>
  <c r="J38" i="37"/>
  <c r="I38" i="38"/>
  <c r="E37" i="37"/>
  <c r="N33" i="38"/>
  <c r="M38" i="37"/>
  <c r="P38" i="38"/>
  <c r="L38" i="37"/>
  <c r="O38" i="38"/>
  <c r="I37" i="37"/>
  <c r="H33" i="38"/>
  <c r="B38" i="37"/>
  <c r="K38" i="38"/>
  <c r="O38" i="37"/>
  <c r="R38" i="38"/>
  <c r="R37" i="37"/>
  <c r="U33" i="38"/>
  <c r="H38" i="37"/>
  <c r="G38" i="38"/>
  <c r="C38" i="37"/>
  <c r="L38" i="38"/>
  <c r="N37" i="37"/>
  <c r="Q33" i="38"/>
  <c r="Q38" i="37"/>
  <c r="T38" i="38"/>
  <c r="G37" i="37"/>
  <c r="F33" i="38"/>
  <c r="D37" i="37"/>
  <c r="M33" i="38"/>
  <c r="P38" i="37"/>
  <c r="S38" i="38"/>
  <c r="J37" i="37"/>
  <c r="I33" i="38"/>
  <c r="F38" i="37"/>
  <c r="E38" i="38"/>
  <c r="D35" i="38"/>
  <c r="F37" i="37"/>
  <c r="E33" i="38"/>
  <c r="D30" i="38"/>
  <c r="E38" i="37"/>
  <c r="N38" i="38"/>
  <c r="AE22" i="34"/>
  <c r="AE29" i="34"/>
  <c r="AF29" i="34"/>
  <c r="AF28" i="34"/>
  <c r="AI22" i="34"/>
  <c r="AI19" i="34"/>
  <c r="AF21" i="34"/>
  <c r="AF13" i="34"/>
  <c r="AF22" i="34"/>
  <c r="AI29" i="34"/>
  <c r="F35" i="37"/>
  <c r="F36" i="37"/>
  <c r="N36" i="37"/>
  <c r="N35" i="37"/>
  <c r="Q36" i="37"/>
  <c r="Q35" i="37"/>
  <c r="G36" i="37"/>
  <c r="G35" i="37"/>
  <c r="D35" i="37"/>
  <c r="D36" i="37"/>
  <c r="P36" i="37"/>
  <c r="P35" i="37"/>
  <c r="J35" i="37"/>
  <c r="J36" i="37"/>
  <c r="E36" i="37"/>
  <c r="E35" i="37"/>
  <c r="M36" i="37"/>
  <c r="M35" i="37"/>
  <c r="L36" i="37"/>
  <c r="L35" i="37"/>
  <c r="I36" i="37"/>
  <c r="I35" i="37"/>
  <c r="B36" i="37"/>
  <c r="B35" i="37"/>
  <c r="O36" i="37"/>
  <c r="O35" i="37"/>
  <c r="R36" i="37"/>
  <c r="R35" i="37"/>
  <c r="H35" i="37"/>
  <c r="H36" i="37"/>
  <c r="C36" i="37"/>
  <c r="C35" i="37"/>
  <c r="AF14" i="34"/>
  <c r="AF19" i="34"/>
  <c r="AH14" i="34"/>
  <c r="AE27" i="34"/>
  <c r="AE18" i="34"/>
  <c r="AG18" i="34"/>
  <c r="AF26" i="34"/>
  <c r="AH28" i="34"/>
  <c r="AI26" i="34"/>
  <c r="AH24" i="34"/>
  <c r="AH23" i="34"/>
  <c r="AF20" i="34"/>
  <c r="AG20" i="34"/>
  <c r="AF15" i="34"/>
  <c r="AG15" i="34"/>
  <c r="AF25" i="34"/>
  <c r="AG25" i="34"/>
  <c r="C37" i="34"/>
  <c r="C38" i="34" s="1"/>
  <c r="C39" i="34" s="1"/>
  <c r="C40" i="34" s="1"/>
  <c r="AE13" i="34"/>
  <c r="AE20" i="34"/>
  <c r="AE28" i="34"/>
  <c r="AE21" i="34"/>
  <c r="AE17" i="34"/>
  <c r="AE26" i="34"/>
  <c r="AE19" i="34"/>
  <c r="C72" i="34"/>
  <c r="C73" i="34" s="1"/>
  <c r="AE24" i="34"/>
  <c r="AE16" i="34"/>
  <c r="C87" i="34"/>
  <c r="C88" i="34" s="1"/>
  <c r="C89" i="34" s="1"/>
  <c r="C54" i="34"/>
  <c r="C55" i="34" s="1"/>
  <c r="AE15" i="34"/>
  <c r="AE25" i="34"/>
  <c r="AE14" i="34"/>
  <c r="AE23" i="34"/>
  <c r="C21" i="34"/>
  <c r="A15" i="9"/>
  <c r="B20" i="34"/>
  <c r="B21" i="34" s="1"/>
  <c r="B22" i="34" s="1"/>
  <c r="B23" i="34" s="1"/>
  <c r="B24" i="34" s="1"/>
  <c r="B25" i="34" s="1"/>
  <c r="B26" i="34" s="1"/>
  <c r="B27" i="34" s="1"/>
  <c r="B28" i="34" s="1"/>
  <c r="B29" i="34" s="1"/>
  <c r="B30" i="34" s="1"/>
  <c r="B32" i="34" s="1"/>
  <c r="B33" i="34" s="1"/>
  <c r="B34" i="34" s="1"/>
  <c r="B35" i="34" s="1"/>
  <c r="B36" i="34" s="1"/>
  <c r="B37" i="34" s="1"/>
  <c r="B38" i="34" s="1"/>
  <c r="B39" i="34" s="1"/>
  <c r="B40" i="34" s="1"/>
  <c r="B41" i="34" s="1"/>
  <c r="B42" i="34" s="1"/>
  <c r="B43" i="34" s="1"/>
  <c r="B44" i="34" s="1"/>
  <c r="B45" i="34" s="1"/>
  <c r="B46" i="34" s="1"/>
  <c r="B48" i="34" s="1"/>
  <c r="B49" i="34" s="1"/>
  <c r="B50" i="34" s="1"/>
  <c r="B51" i="34" s="1"/>
  <c r="B52" i="34" s="1"/>
  <c r="B53" i="34" s="1"/>
  <c r="B54" i="34" s="1"/>
  <c r="B55" i="34" s="1"/>
  <c r="B56" i="34" s="1"/>
  <c r="B57" i="34" s="1"/>
  <c r="B59" i="34" s="1"/>
  <c r="B60" i="34" s="1"/>
  <c r="B62" i="34" s="1"/>
  <c r="B65" i="34" s="1"/>
  <c r="B66" i="34" s="1"/>
  <c r="B67" i="34" s="1"/>
  <c r="B68" i="34" s="1"/>
  <c r="B69" i="34" s="1"/>
  <c r="B70" i="34" s="1"/>
  <c r="B71" i="34" s="1"/>
  <c r="B72" i="34" s="1"/>
  <c r="B73" i="34" s="1"/>
  <c r="B74" i="34" s="1"/>
  <c r="B75" i="34" s="1"/>
  <c r="B76" i="34" s="1"/>
  <c r="B77" i="34" s="1"/>
  <c r="B78" i="34" s="1"/>
  <c r="B79" i="34" s="1"/>
  <c r="B82" i="34" s="1"/>
  <c r="B83" i="34" s="1"/>
  <c r="B84" i="34" s="1"/>
  <c r="B85" i="34" s="1"/>
  <c r="B86" i="34" s="1"/>
  <c r="B87" i="34" s="1"/>
  <c r="B88" i="34" s="1"/>
  <c r="B89" i="34" s="1"/>
  <c r="D33" i="38" l="1"/>
  <c r="D38" i="38"/>
  <c r="AI18" i="34"/>
  <c r="AH18" i="34"/>
  <c r="AI25" i="34"/>
  <c r="AH25" i="34"/>
  <c r="AI15" i="34"/>
  <c r="AH15" i="34"/>
  <c r="AI20" i="34"/>
  <c r="AH20" i="34"/>
  <c r="C56" i="34"/>
  <c r="C57" i="34" s="1"/>
  <c r="C22" i="34"/>
  <c r="C23" i="34" s="1"/>
  <c r="C74" i="34"/>
  <c r="C75" i="34" s="1"/>
  <c r="C76" i="34" s="1"/>
  <c r="B10" i="14"/>
  <c r="C10" i="14"/>
  <c r="B11" i="14"/>
  <c r="C11" i="14"/>
  <c r="B12" i="14"/>
  <c r="C12" i="14"/>
  <c r="B13" i="14"/>
  <c r="C13" i="14"/>
  <c r="B14" i="14"/>
  <c r="C14" i="14"/>
  <c r="B15" i="14"/>
  <c r="C15" i="14"/>
  <c r="B16" i="14"/>
  <c r="C16" i="14"/>
  <c r="B17" i="14"/>
  <c r="C17" i="14"/>
  <c r="B18" i="14"/>
  <c r="C18" i="14"/>
  <c r="B19" i="14"/>
  <c r="C19" i="14"/>
  <c r="B20" i="14"/>
  <c r="C20" i="14"/>
  <c r="B21" i="14"/>
  <c r="C21" i="14"/>
  <c r="B22" i="14"/>
  <c r="C22" i="14"/>
  <c r="B23" i="14"/>
  <c r="C23" i="14"/>
  <c r="B24" i="14"/>
  <c r="C24" i="14"/>
  <c r="B25" i="14"/>
  <c r="C25" i="14"/>
  <c r="B26" i="14"/>
  <c r="C26" i="14"/>
  <c r="B27" i="14"/>
  <c r="C27" i="14"/>
  <c r="B28" i="14"/>
  <c r="C28" i="14"/>
  <c r="B29" i="14"/>
  <c r="C29" i="14"/>
  <c r="B30" i="14"/>
  <c r="C30" i="14"/>
  <c r="B31" i="14"/>
  <c r="C31" i="14"/>
  <c r="B32" i="14"/>
  <c r="C32" i="14"/>
  <c r="B33" i="14"/>
  <c r="C33" i="14"/>
  <c r="B34" i="14"/>
  <c r="C34" i="14"/>
  <c r="B35" i="14"/>
  <c r="C35" i="14"/>
  <c r="B36" i="14"/>
  <c r="C36" i="14"/>
  <c r="B37" i="14"/>
  <c r="C37" i="14"/>
  <c r="B38" i="14"/>
  <c r="C38" i="14"/>
  <c r="B39" i="14"/>
  <c r="C39" i="14"/>
  <c r="B40" i="14"/>
  <c r="C40" i="14"/>
  <c r="B41" i="14"/>
  <c r="C41" i="14"/>
  <c r="B42" i="14"/>
  <c r="C42" i="14"/>
  <c r="B43" i="14"/>
  <c r="C43" i="14"/>
  <c r="B44" i="14"/>
  <c r="C44" i="14"/>
  <c r="B45" i="14"/>
  <c r="C45" i="14"/>
  <c r="B46" i="14"/>
  <c r="C46" i="14"/>
  <c r="B47" i="14"/>
  <c r="C47" i="14"/>
  <c r="B48" i="14"/>
  <c r="C48" i="14"/>
  <c r="B49" i="14"/>
  <c r="C49" i="14"/>
  <c r="B50" i="14"/>
  <c r="C50" i="14"/>
  <c r="B51" i="14"/>
  <c r="C51" i="14"/>
  <c r="B52" i="14"/>
  <c r="C52" i="14"/>
  <c r="B53" i="14"/>
  <c r="C53" i="14"/>
  <c r="B54" i="14"/>
  <c r="C54" i="14"/>
  <c r="B55" i="14"/>
  <c r="C55" i="14"/>
  <c r="B56" i="14"/>
  <c r="C56" i="14"/>
  <c r="B57" i="14"/>
  <c r="C57" i="14"/>
  <c r="B58" i="14"/>
  <c r="C58" i="14"/>
  <c r="B59" i="14"/>
  <c r="C59" i="14"/>
  <c r="B60" i="14"/>
  <c r="C60" i="14"/>
  <c r="B61" i="14"/>
  <c r="C61" i="14"/>
  <c r="B62" i="14"/>
  <c r="C62" i="14"/>
  <c r="B63" i="14"/>
  <c r="C63" i="14"/>
  <c r="B64" i="14"/>
  <c r="C64" i="14"/>
  <c r="B65" i="14"/>
  <c r="C65" i="14"/>
  <c r="B66" i="14"/>
  <c r="C66" i="14"/>
  <c r="B67" i="14"/>
  <c r="C67" i="14"/>
  <c r="B68" i="14"/>
  <c r="C68" i="14"/>
  <c r="B69" i="14"/>
  <c r="C69" i="14"/>
  <c r="B70" i="14"/>
  <c r="C70" i="14"/>
  <c r="B71" i="14"/>
  <c r="C71" i="14"/>
  <c r="B72" i="14"/>
  <c r="C72" i="14"/>
  <c r="B73" i="14"/>
  <c r="C73" i="14"/>
  <c r="B74" i="14"/>
  <c r="C74" i="14"/>
  <c r="B75" i="14"/>
  <c r="C75" i="14"/>
  <c r="B76" i="14"/>
  <c r="C76" i="14"/>
  <c r="B77" i="14"/>
  <c r="C77" i="14"/>
  <c r="B78" i="14"/>
  <c r="C78" i="14"/>
  <c r="B79" i="14"/>
  <c r="C79" i="14"/>
  <c r="B80" i="14"/>
  <c r="C80" i="14"/>
  <c r="B81" i="14"/>
  <c r="C81" i="14"/>
  <c r="B82" i="14"/>
  <c r="C82" i="14"/>
  <c r="B83" i="14"/>
  <c r="C83" i="14"/>
  <c r="B84" i="14"/>
  <c r="C84" i="14"/>
  <c r="B85" i="14"/>
  <c r="C85" i="14"/>
  <c r="B86" i="14"/>
  <c r="C86" i="14"/>
  <c r="B87" i="14"/>
  <c r="C87" i="14"/>
  <c r="B88" i="14"/>
  <c r="C88" i="14"/>
  <c r="B89" i="14"/>
  <c r="C89" i="14"/>
  <c r="B90" i="14"/>
  <c r="C90" i="14"/>
  <c r="B91" i="14"/>
  <c r="C91" i="14"/>
  <c r="B92" i="14"/>
  <c r="C92" i="14"/>
  <c r="A92" i="14" s="1"/>
  <c r="B93" i="14"/>
  <c r="C93" i="14"/>
  <c r="A93" i="14" s="1"/>
  <c r="B94" i="14"/>
  <c r="C94" i="14"/>
  <c r="A94" i="14" s="1"/>
  <c r="B95" i="14"/>
  <c r="C95" i="14"/>
  <c r="A95" i="14" s="1"/>
  <c r="B96" i="14"/>
  <c r="C96" i="14"/>
  <c r="A96" i="14" s="1"/>
  <c r="B97" i="14"/>
  <c r="C97" i="14"/>
  <c r="A97" i="14" s="1"/>
  <c r="B98" i="14"/>
  <c r="C98" i="14"/>
  <c r="A98" i="14" s="1"/>
  <c r="B99" i="14"/>
  <c r="C99" i="14"/>
  <c r="A99" i="14" s="1"/>
  <c r="B100" i="14"/>
  <c r="C100" i="14"/>
  <c r="A100" i="14" s="1"/>
  <c r="B101" i="14"/>
  <c r="C101" i="14"/>
  <c r="A101" i="14" s="1"/>
  <c r="B102" i="14"/>
  <c r="C102" i="14"/>
  <c r="A102" i="14" s="1"/>
  <c r="B103" i="14"/>
  <c r="C103" i="14"/>
  <c r="A103" i="14" s="1"/>
  <c r="B104" i="14"/>
  <c r="C104" i="14"/>
  <c r="A104" i="14" s="1"/>
  <c r="B105" i="14"/>
  <c r="C105" i="14"/>
  <c r="A105" i="14" s="1"/>
  <c r="B106" i="14"/>
  <c r="C106" i="14"/>
  <c r="A106" i="14" s="1"/>
  <c r="B9" i="14"/>
  <c r="C9" i="14"/>
  <c r="B8" i="14"/>
  <c r="C8" i="14"/>
  <c r="A8" i="14" s="1"/>
  <c r="R3" i="9"/>
  <c r="S3" i="9" s="1"/>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 i="3"/>
  <c r="F10" i="3"/>
  <c r="F11" i="3"/>
  <c r="F12" i="3"/>
  <c r="F13" i="3"/>
  <c r="F14" i="3"/>
  <c r="F15" i="3"/>
  <c r="F16" i="3"/>
  <c r="F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8"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 i="3"/>
  <c r="C8"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 i="3"/>
  <c r="B8" i="3"/>
  <c r="A8" i="3" s="1"/>
  <c r="E16" i="9"/>
  <c r="E17" i="9"/>
  <c r="E18" i="9"/>
  <c r="E19" i="9"/>
  <c r="E20" i="9"/>
  <c r="E21" i="9"/>
  <c r="E22" i="9"/>
  <c r="E23" i="9"/>
  <c r="E24" i="9"/>
  <c r="F24" i="9" s="1"/>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E67" i="9"/>
  <c r="E68" i="9"/>
  <c r="E69" i="9"/>
  <c r="E70" i="9"/>
  <c r="E71" i="9"/>
  <c r="E72" i="9"/>
  <c r="E73" i="9"/>
  <c r="E74" i="9"/>
  <c r="E75" i="9"/>
  <c r="E76" i="9"/>
  <c r="E77" i="9"/>
  <c r="E78" i="9"/>
  <c r="E79" i="9"/>
  <c r="E80" i="9"/>
  <c r="E81" i="9"/>
  <c r="E82" i="9"/>
  <c r="E83" i="9"/>
  <c r="E84" i="9"/>
  <c r="E85" i="9"/>
  <c r="E86" i="9"/>
  <c r="E87" i="9"/>
  <c r="E88" i="9"/>
  <c r="E89" i="9"/>
  <c r="E90" i="9"/>
  <c r="E91" i="9"/>
  <c r="E92" i="9"/>
  <c r="E93" i="9"/>
  <c r="E94" i="9"/>
  <c r="E95" i="9"/>
  <c r="E96" i="9"/>
  <c r="E97" i="9"/>
  <c r="E98" i="9"/>
  <c r="E99" i="9"/>
  <c r="E100" i="9"/>
  <c r="E101" i="9"/>
  <c r="E102" i="9"/>
  <c r="E103" i="9"/>
  <c r="E104" i="9"/>
  <c r="E105" i="9"/>
  <c r="E106" i="9"/>
  <c r="C16" i="9"/>
  <c r="D16" i="9" s="1"/>
  <c r="C17" i="9"/>
  <c r="D17" i="9" s="1"/>
  <c r="C18" i="9"/>
  <c r="D18" i="9" s="1"/>
  <c r="C19" i="9"/>
  <c r="D19" i="9" s="1"/>
  <c r="C20" i="9"/>
  <c r="D20" i="9" s="1"/>
  <c r="C21" i="9"/>
  <c r="D21" i="9" s="1"/>
  <c r="C22" i="9"/>
  <c r="D22" i="9" s="1"/>
  <c r="C23" i="9"/>
  <c r="D23" i="9" s="1"/>
  <c r="C24" i="9"/>
  <c r="D24" i="9" s="1"/>
  <c r="C25" i="9"/>
  <c r="D25" i="9" s="1"/>
  <c r="C26" i="9"/>
  <c r="D26" i="9" s="1"/>
  <c r="C27" i="9"/>
  <c r="D27" i="9" s="1"/>
  <c r="C28" i="9"/>
  <c r="D28" i="9" s="1"/>
  <c r="C29" i="9"/>
  <c r="D29" i="9" s="1"/>
  <c r="C30" i="9"/>
  <c r="D30" i="9" s="1"/>
  <c r="C31" i="9"/>
  <c r="D31" i="9" s="1"/>
  <c r="C32" i="9"/>
  <c r="D32" i="9" s="1"/>
  <c r="C33" i="9"/>
  <c r="D33" i="9" s="1"/>
  <c r="C34" i="9"/>
  <c r="D34" i="9" s="1"/>
  <c r="C35" i="9"/>
  <c r="D35" i="9" s="1"/>
  <c r="C36" i="9"/>
  <c r="D36" i="9" s="1"/>
  <c r="C37" i="9"/>
  <c r="D37" i="9" s="1"/>
  <c r="C38" i="9"/>
  <c r="D38" i="9" s="1"/>
  <c r="C39" i="9"/>
  <c r="D39" i="9" s="1"/>
  <c r="C40" i="9"/>
  <c r="D40" i="9" s="1"/>
  <c r="C41" i="9"/>
  <c r="D41" i="9" s="1"/>
  <c r="C42" i="9"/>
  <c r="D42" i="9" s="1"/>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D58" i="9" s="1"/>
  <c r="C59" i="9"/>
  <c r="D59" i="9" s="1"/>
  <c r="C60" i="9"/>
  <c r="D60"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C79" i="9"/>
  <c r="D79" i="9" s="1"/>
  <c r="C80" i="9"/>
  <c r="D80" i="9" s="1"/>
  <c r="C81" i="9"/>
  <c r="D81" i="9" s="1"/>
  <c r="C82" i="9"/>
  <c r="D82" i="9" s="1"/>
  <c r="C83" i="9"/>
  <c r="D83" i="9" s="1"/>
  <c r="C84" i="9"/>
  <c r="D84" i="9" s="1"/>
  <c r="C85" i="9"/>
  <c r="D85" i="9" s="1"/>
  <c r="C86" i="9"/>
  <c r="D86" i="9" s="1"/>
  <c r="C87" i="9"/>
  <c r="D87" i="9" s="1"/>
  <c r="C88" i="9"/>
  <c r="D88" i="9" s="1"/>
  <c r="C89" i="9"/>
  <c r="D89" i="9" s="1"/>
  <c r="C90" i="9"/>
  <c r="D90" i="9" s="1"/>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B16" i="9"/>
  <c r="A16" i="9" s="1"/>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A92" i="9" s="1"/>
  <c r="B93" i="9"/>
  <c r="A93" i="9" s="1"/>
  <c r="B94" i="9"/>
  <c r="A94" i="9" s="1"/>
  <c r="B95" i="9"/>
  <c r="A95" i="9" s="1"/>
  <c r="B96" i="9"/>
  <c r="A96" i="9" s="1"/>
  <c r="B97" i="9"/>
  <c r="A97" i="9" s="1"/>
  <c r="B98" i="9"/>
  <c r="A98" i="9" s="1"/>
  <c r="B99" i="9"/>
  <c r="A99" i="9" s="1"/>
  <c r="B100" i="9"/>
  <c r="A100" i="9" s="1"/>
  <c r="B101" i="9"/>
  <c r="A101" i="9" s="1"/>
  <c r="B102" i="9"/>
  <c r="A102" i="9" s="1"/>
  <c r="B103" i="9"/>
  <c r="A103" i="9" s="1"/>
  <c r="B104" i="9"/>
  <c r="A104" i="9" s="1"/>
  <c r="B105" i="9"/>
  <c r="A105" i="9" s="1"/>
  <c r="I24" i="21"/>
  <c r="I25" i="21"/>
  <c r="I26" i="21"/>
  <c r="I27" i="21"/>
  <c r="I28" i="21"/>
  <c r="I29" i="21"/>
  <c r="I23" i="21"/>
  <c r="I22" i="21"/>
  <c r="I21" i="21"/>
  <c r="I20" i="21"/>
  <c r="I19" i="21"/>
  <c r="I18" i="21"/>
  <c r="I17" i="21"/>
  <c r="I16" i="21"/>
  <c r="I15" i="21"/>
  <c r="I14" i="21"/>
  <c r="I13" i="21"/>
  <c r="I12" i="21"/>
  <c r="I11" i="21"/>
  <c r="I10" i="21"/>
  <c r="I9" i="21"/>
  <c r="I8" i="21"/>
  <c r="I7" i="21"/>
  <c r="I6" i="21"/>
  <c r="I5" i="21"/>
  <c r="C6" i="21"/>
  <c r="C7" i="21"/>
  <c r="C8" i="21"/>
  <c r="C9" i="21"/>
  <c r="C10" i="21"/>
  <c r="C11" i="21"/>
  <c r="C12" i="21"/>
  <c r="C13" i="21"/>
  <c r="C14" i="21"/>
  <c r="C15" i="21"/>
  <c r="C16" i="21"/>
  <c r="C17" i="21"/>
  <c r="C18" i="21"/>
  <c r="C19" i="21"/>
  <c r="C20" i="21"/>
  <c r="C21" i="21"/>
  <c r="C22" i="21"/>
  <c r="C23" i="21"/>
  <c r="C24" i="21"/>
  <c r="C5" i="21"/>
  <c r="D8" i="3" l="1"/>
  <c r="H8" i="3" s="1"/>
  <c r="D91" i="3"/>
  <c r="G91" i="3" s="1"/>
  <c r="D89" i="3"/>
  <c r="H89" i="3" s="1"/>
  <c r="D87" i="3"/>
  <c r="G87" i="3" s="1"/>
  <c r="D85" i="3"/>
  <c r="H85" i="3" s="1"/>
  <c r="D83" i="3"/>
  <c r="G83" i="3" s="1"/>
  <c r="D81" i="3"/>
  <c r="H81" i="3" s="1"/>
  <c r="D79" i="3"/>
  <c r="G79" i="3" s="1"/>
  <c r="D77" i="3"/>
  <c r="H77" i="3" s="1"/>
  <c r="D75" i="3"/>
  <c r="G75" i="3" s="1"/>
  <c r="D73" i="3"/>
  <c r="H73" i="3" s="1"/>
  <c r="D71" i="3"/>
  <c r="G71" i="3" s="1"/>
  <c r="D69" i="3"/>
  <c r="H69" i="3" s="1"/>
  <c r="D67" i="3"/>
  <c r="G67" i="3" s="1"/>
  <c r="D65" i="3"/>
  <c r="H65" i="3" s="1"/>
  <c r="D63" i="3"/>
  <c r="G63" i="3" s="1"/>
  <c r="D61" i="3"/>
  <c r="H61" i="3" s="1"/>
  <c r="D59" i="3"/>
  <c r="G59" i="3" s="1"/>
  <c r="D57" i="3"/>
  <c r="H57" i="3" s="1"/>
  <c r="D55" i="3"/>
  <c r="G55" i="3" s="1"/>
  <c r="D53" i="3"/>
  <c r="H53" i="3" s="1"/>
  <c r="D51" i="3"/>
  <c r="G51" i="3" s="1"/>
  <c r="D49" i="3"/>
  <c r="H49" i="3" s="1"/>
  <c r="D47" i="3"/>
  <c r="G47" i="3" s="1"/>
  <c r="D45" i="3"/>
  <c r="H45" i="3" s="1"/>
  <c r="D43" i="3"/>
  <c r="G43" i="3" s="1"/>
  <c r="D41" i="3"/>
  <c r="H41" i="3" s="1"/>
  <c r="D39" i="3"/>
  <c r="G39" i="3" s="1"/>
  <c r="D37" i="3"/>
  <c r="H37" i="3" s="1"/>
  <c r="D35" i="3"/>
  <c r="G35" i="3" s="1"/>
  <c r="D33" i="3"/>
  <c r="H33" i="3" s="1"/>
  <c r="D31" i="3"/>
  <c r="G31" i="3" s="1"/>
  <c r="D29" i="3"/>
  <c r="H29" i="3" s="1"/>
  <c r="D27" i="3"/>
  <c r="G27" i="3" s="1"/>
  <c r="D25" i="3"/>
  <c r="H25" i="3" s="1"/>
  <c r="D23" i="3"/>
  <c r="G23" i="3" s="1"/>
  <c r="D21" i="3"/>
  <c r="H21" i="3" s="1"/>
  <c r="D19" i="3"/>
  <c r="G19" i="3" s="1"/>
  <c r="D17" i="3"/>
  <c r="H17" i="3" s="1"/>
  <c r="D15" i="3"/>
  <c r="G15" i="3" s="1"/>
  <c r="D13" i="3"/>
  <c r="H13" i="3" s="1"/>
  <c r="D11" i="3"/>
  <c r="G11" i="3" s="1"/>
  <c r="D9" i="3"/>
  <c r="H9" i="3" s="1"/>
  <c r="X9" i="3" s="1"/>
  <c r="V9" i="3"/>
  <c r="R9" i="3"/>
  <c r="N9" i="3"/>
  <c r="J9" i="3"/>
  <c r="S9" i="3"/>
  <c r="K9" i="3"/>
  <c r="Q9" i="3"/>
  <c r="I9" i="3"/>
  <c r="D90" i="3"/>
  <c r="G90" i="3" s="1"/>
  <c r="D88" i="3"/>
  <c r="G88" i="3" s="1"/>
  <c r="D86" i="3"/>
  <c r="G86" i="3" s="1"/>
  <c r="D84" i="3"/>
  <c r="G84" i="3" s="1"/>
  <c r="D82" i="3"/>
  <c r="G82" i="3" s="1"/>
  <c r="D80" i="3"/>
  <c r="G80" i="3" s="1"/>
  <c r="D78" i="3"/>
  <c r="G78" i="3" s="1"/>
  <c r="D76" i="3"/>
  <c r="G76" i="3" s="1"/>
  <c r="D74" i="3"/>
  <c r="G74" i="3" s="1"/>
  <c r="D72" i="3"/>
  <c r="G72" i="3" s="1"/>
  <c r="D70" i="3"/>
  <c r="G70" i="3" s="1"/>
  <c r="D68" i="3"/>
  <c r="G68" i="3" s="1"/>
  <c r="D66" i="3"/>
  <c r="G66" i="3" s="1"/>
  <c r="D64" i="3"/>
  <c r="G64" i="3" s="1"/>
  <c r="D62" i="3"/>
  <c r="G62" i="3" s="1"/>
  <c r="D60" i="3"/>
  <c r="G60" i="3" s="1"/>
  <c r="D58" i="3"/>
  <c r="G58" i="3" s="1"/>
  <c r="D56" i="3"/>
  <c r="G56" i="3" s="1"/>
  <c r="D54" i="3"/>
  <c r="G54" i="3" s="1"/>
  <c r="D52" i="3"/>
  <c r="G52" i="3" s="1"/>
  <c r="D50" i="3"/>
  <c r="G50" i="3" s="1"/>
  <c r="D48" i="3"/>
  <c r="G48" i="3" s="1"/>
  <c r="D46" i="3"/>
  <c r="G46" i="3" s="1"/>
  <c r="D44" i="3"/>
  <c r="G44" i="3" s="1"/>
  <c r="D42" i="3"/>
  <c r="G42" i="3" s="1"/>
  <c r="D40" i="3"/>
  <c r="G40" i="3" s="1"/>
  <c r="D38" i="3"/>
  <c r="G38" i="3" s="1"/>
  <c r="D36" i="3"/>
  <c r="G36" i="3" s="1"/>
  <c r="D34" i="3"/>
  <c r="G34" i="3" s="1"/>
  <c r="D32" i="3"/>
  <c r="G32" i="3" s="1"/>
  <c r="D30" i="3"/>
  <c r="G30" i="3" s="1"/>
  <c r="D28" i="3"/>
  <c r="G28" i="3" s="1"/>
  <c r="D26" i="3"/>
  <c r="G26" i="3" s="1"/>
  <c r="D24" i="3"/>
  <c r="H24" i="3" s="1"/>
  <c r="D22" i="3"/>
  <c r="G22" i="3" s="1"/>
  <c r="D20" i="3"/>
  <c r="H20" i="3" s="1"/>
  <c r="D18" i="3"/>
  <c r="G18" i="3" s="1"/>
  <c r="D16" i="3"/>
  <c r="H16" i="3" s="1"/>
  <c r="D14" i="3"/>
  <c r="G14" i="3" s="1"/>
  <c r="D12" i="3"/>
  <c r="H12" i="3" s="1"/>
  <c r="D10" i="3"/>
  <c r="G10" i="3" s="1"/>
  <c r="A9" i="3"/>
  <c r="A10" i="3" s="1"/>
  <c r="A9" i="14"/>
  <c r="C77" i="34"/>
  <c r="C78" i="34" s="1"/>
  <c r="C59" i="34"/>
  <c r="C60" i="34" s="1"/>
  <c r="C62" i="34" s="1"/>
  <c r="C24" i="34"/>
  <c r="C25" i="34" s="1"/>
  <c r="A17" i="9"/>
  <c r="A18" i="9" s="1"/>
  <c r="A19" i="9" s="1"/>
  <c r="A20" i="9" s="1"/>
  <c r="G8" i="3"/>
  <c r="G89" i="3"/>
  <c r="G85" i="3"/>
  <c r="G81" i="3"/>
  <c r="G77" i="3"/>
  <c r="G73" i="3"/>
  <c r="G69" i="3"/>
  <c r="G65" i="3"/>
  <c r="G61" i="3"/>
  <c r="G57" i="3"/>
  <c r="G53" i="3"/>
  <c r="G49" i="3"/>
  <c r="G45" i="3"/>
  <c r="G41" i="3"/>
  <c r="G37" i="3"/>
  <c r="G33" i="3"/>
  <c r="G29" i="3"/>
  <c r="G25" i="3"/>
  <c r="G21" i="3"/>
  <c r="G17" i="3"/>
  <c r="G13" i="3"/>
  <c r="H88" i="3"/>
  <c r="H84" i="3"/>
  <c r="H80" i="3"/>
  <c r="H76" i="3"/>
  <c r="H72" i="3"/>
  <c r="H68" i="3"/>
  <c r="H64" i="3"/>
  <c r="H60" i="3"/>
  <c r="H56" i="3"/>
  <c r="H52" i="3"/>
  <c r="H44" i="3"/>
  <c r="H40" i="3"/>
  <c r="H36" i="3"/>
  <c r="H28" i="3"/>
  <c r="G20" i="3"/>
  <c r="G16" i="3"/>
  <c r="G12" i="3"/>
  <c r="G9" i="3"/>
  <c r="K106" i="12"/>
  <c r="K106" i="32" s="1"/>
  <c r="J106" i="12"/>
  <c r="J106" i="32" s="1"/>
  <c r="K105" i="12"/>
  <c r="K105" i="32" s="1"/>
  <c r="J105" i="12"/>
  <c r="J105" i="32" s="1"/>
  <c r="K104" i="12"/>
  <c r="K104" i="32" s="1"/>
  <c r="J104" i="12"/>
  <c r="J104" i="32" s="1"/>
  <c r="K103" i="12"/>
  <c r="K103" i="32" s="1"/>
  <c r="J103" i="12"/>
  <c r="J103" i="32" s="1"/>
  <c r="K102" i="12"/>
  <c r="K102" i="32" s="1"/>
  <c r="J102" i="12"/>
  <c r="J102" i="32" s="1"/>
  <c r="K101" i="12"/>
  <c r="K101" i="32" s="1"/>
  <c r="J101" i="12"/>
  <c r="J101" i="32" s="1"/>
  <c r="K100" i="12"/>
  <c r="K100" i="32" s="1"/>
  <c r="J100" i="12"/>
  <c r="J100" i="32" s="1"/>
  <c r="K99" i="12"/>
  <c r="K99" i="32" s="1"/>
  <c r="J99" i="12"/>
  <c r="J99" i="32" s="1"/>
  <c r="K98" i="12"/>
  <c r="K98" i="32" s="1"/>
  <c r="J98" i="12"/>
  <c r="J98" i="32" s="1"/>
  <c r="K97" i="12"/>
  <c r="K97" i="32" s="1"/>
  <c r="J97" i="12"/>
  <c r="J97" i="32" s="1"/>
  <c r="K96" i="12"/>
  <c r="K96" i="32" s="1"/>
  <c r="J96" i="12"/>
  <c r="J96" i="32" s="1"/>
  <c r="K95" i="12"/>
  <c r="K95" i="32" s="1"/>
  <c r="J95" i="12"/>
  <c r="J95" i="32" s="1"/>
  <c r="K94" i="12"/>
  <c r="K94" i="32" s="1"/>
  <c r="J94" i="12"/>
  <c r="J94" i="32" s="1"/>
  <c r="K93" i="12"/>
  <c r="K93" i="32" s="1"/>
  <c r="J93" i="12"/>
  <c r="J93" i="32" s="1"/>
  <c r="K92" i="12"/>
  <c r="K92" i="32" s="1"/>
  <c r="J92" i="12"/>
  <c r="J92" i="32" s="1"/>
  <c r="K91" i="12"/>
  <c r="K91" i="32" s="1"/>
  <c r="J91" i="12"/>
  <c r="J91" i="32" s="1"/>
  <c r="K90" i="12"/>
  <c r="K90" i="32" s="1"/>
  <c r="J90" i="12"/>
  <c r="J90" i="32" s="1"/>
  <c r="K89" i="12"/>
  <c r="K89" i="32" s="1"/>
  <c r="J89" i="12"/>
  <c r="J89" i="32" s="1"/>
  <c r="K88" i="12"/>
  <c r="K88" i="32" s="1"/>
  <c r="J88" i="12"/>
  <c r="J88" i="32" s="1"/>
  <c r="K87" i="12"/>
  <c r="K87" i="32" s="1"/>
  <c r="J87" i="12"/>
  <c r="J87" i="32" s="1"/>
  <c r="K86" i="12"/>
  <c r="K86" i="32" s="1"/>
  <c r="J86" i="12"/>
  <c r="J86" i="32" s="1"/>
  <c r="K85" i="12"/>
  <c r="K85" i="32" s="1"/>
  <c r="J85" i="12"/>
  <c r="J85" i="32" s="1"/>
  <c r="K84" i="12"/>
  <c r="K84" i="32" s="1"/>
  <c r="J84" i="12"/>
  <c r="J84" i="32" s="1"/>
  <c r="K83" i="12"/>
  <c r="J83" i="12"/>
  <c r="K82" i="12"/>
  <c r="J82" i="12"/>
  <c r="K81" i="12"/>
  <c r="K81" i="32" s="1"/>
  <c r="J81" i="12"/>
  <c r="J81" i="32" s="1"/>
  <c r="K80" i="12"/>
  <c r="K80" i="32" s="1"/>
  <c r="J80" i="12"/>
  <c r="J80" i="32" s="1"/>
  <c r="K79" i="12"/>
  <c r="K79" i="32" s="1"/>
  <c r="J79" i="12"/>
  <c r="J79" i="32" s="1"/>
  <c r="K78" i="12"/>
  <c r="K78" i="32" s="1"/>
  <c r="J78" i="12"/>
  <c r="J78" i="32" s="1"/>
  <c r="K77" i="12"/>
  <c r="K77" i="32" s="1"/>
  <c r="J77" i="12"/>
  <c r="J77" i="32" s="1"/>
  <c r="K76" i="12"/>
  <c r="K76" i="32" s="1"/>
  <c r="J76" i="12"/>
  <c r="J76" i="32" s="1"/>
  <c r="K75" i="12"/>
  <c r="K75" i="32" s="1"/>
  <c r="J75" i="12"/>
  <c r="J75" i="32" s="1"/>
  <c r="K74" i="12"/>
  <c r="K74" i="32" s="1"/>
  <c r="J74" i="12"/>
  <c r="J74" i="32" s="1"/>
  <c r="K73" i="12"/>
  <c r="K73" i="32" s="1"/>
  <c r="J73" i="12"/>
  <c r="J73" i="32" s="1"/>
  <c r="K72" i="12"/>
  <c r="K72" i="32" s="1"/>
  <c r="J72" i="12"/>
  <c r="J72" i="32" s="1"/>
  <c r="K71" i="12"/>
  <c r="K71" i="32" s="1"/>
  <c r="J71" i="12"/>
  <c r="J71" i="32" s="1"/>
  <c r="K70" i="12"/>
  <c r="K70" i="32" s="1"/>
  <c r="J70" i="12"/>
  <c r="J70" i="32" s="1"/>
  <c r="K69" i="12"/>
  <c r="K69" i="32" s="1"/>
  <c r="J69" i="12"/>
  <c r="J69" i="32" s="1"/>
  <c r="K68" i="12"/>
  <c r="K68" i="32" s="1"/>
  <c r="J68" i="12"/>
  <c r="J68" i="32" s="1"/>
  <c r="K67" i="12"/>
  <c r="K67" i="32" s="1"/>
  <c r="J67" i="12"/>
  <c r="J67" i="32" s="1"/>
  <c r="K66" i="12"/>
  <c r="J66" i="12"/>
  <c r="K65" i="12"/>
  <c r="J65" i="12"/>
  <c r="K64" i="12"/>
  <c r="K64" i="32" s="1"/>
  <c r="J64" i="12"/>
  <c r="J64" i="32" s="1"/>
  <c r="K63" i="12"/>
  <c r="J63" i="12"/>
  <c r="K62" i="12"/>
  <c r="K62" i="32" s="1"/>
  <c r="J62" i="12"/>
  <c r="J62" i="32" s="1"/>
  <c r="K61" i="12"/>
  <c r="K61" i="32" s="1"/>
  <c r="J61" i="12"/>
  <c r="J61" i="32" s="1"/>
  <c r="K60" i="12"/>
  <c r="J60" i="12"/>
  <c r="K59" i="12"/>
  <c r="K59" i="32" s="1"/>
  <c r="J59" i="12"/>
  <c r="J59" i="32" s="1"/>
  <c r="K58" i="12"/>
  <c r="K58" i="32" s="1"/>
  <c r="J58" i="12"/>
  <c r="J58" i="32" s="1"/>
  <c r="K57" i="12"/>
  <c r="K57" i="32" s="1"/>
  <c r="J57" i="12"/>
  <c r="J57" i="32" s="1"/>
  <c r="K56" i="12"/>
  <c r="K56" i="32" s="1"/>
  <c r="J56" i="12"/>
  <c r="J56" i="32" s="1"/>
  <c r="K55" i="12"/>
  <c r="K55" i="32" s="1"/>
  <c r="J55" i="12"/>
  <c r="J55" i="32" s="1"/>
  <c r="K54" i="12"/>
  <c r="K54" i="32" s="1"/>
  <c r="J54" i="12"/>
  <c r="J54" i="32" s="1"/>
  <c r="K53" i="12"/>
  <c r="K53" i="32" s="1"/>
  <c r="J53" i="12"/>
  <c r="J53" i="32" s="1"/>
  <c r="K52" i="12"/>
  <c r="K52" i="32" s="1"/>
  <c r="J52" i="12"/>
  <c r="J52" i="32" s="1"/>
  <c r="K51" i="12"/>
  <c r="K51" i="32" s="1"/>
  <c r="J51" i="12"/>
  <c r="J51" i="32" s="1"/>
  <c r="K50" i="12"/>
  <c r="K50" i="32" s="1"/>
  <c r="J50" i="12"/>
  <c r="J50" i="32" s="1"/>
  <c r="K49" i="12"/>
  <c r="J49" i="12"/>
  <c r="J49" i="32" s="1"/>
  <c r="K48" i="12"/>
  <c r="K48" i="32" s="1"/>
  <c r="J48" i="12"/>
  <c r="J48" i="32" s="1"/>
  <c r="K47" i="12"/>
  <c r="K47" i="32" s="1"/>
  <c r="J47" i="12"/>
  <c r="J47" i="32" s="1"/>
  <c r="K46" i="12"/>
  <c r="K46" i="32" s="1"/>
  <c r="J46" i="12"/>
  <c r="J46" i="32" s="1"/>
  <c r="K45" i="12"/>
  <c r="K45" i="32" s="1"/>
  <c r="J45" i="12"/>
  <c r="J45" i="32" s="1"/>
  <c r="K44" i="12"/>
  <c r="K44" i="32" s="1"/>
  <c r="J44" i="12"/>
  <c r="J44" i="32" s="1"/>
  <c r="K43" i="12"/>
  <c r="J43" i="12"/>
  <c r="J43" i="32" s="1"/>
  <c r="K42" i="12"/>
  <c r="K42" i="32" s="1"/>
  <c r="J42" i="12"/>
  <c r="J42" i="32" s="1"/>
  <c r="K41" i="12"/>
  <c r="K41" i="32" s="1"/>
  <c r="J41" i="12"/>
  <c r="J41" i="32" s="1"/>
  <c r="K40" i="12"/>
  <c r="K40" i="32" s="1"/>
  <c r="J40" i="12"/>
  <c r="J40" i="32" s="1"/>
  <c r="K39" i="12"/>
  <c r="K39" i="32" s="1"/>
  <c r="J39" i="12"/>
  <c r="J39" i="32" s="1"/>
  <c r="K38" i="12"/>
  <c r="K38" i="32" s="1"/>
  <c r="J38" i="12"/>
  <c r="J38" i="32" s="1"/>
  <c r="K37" i="12"/>
  <c r="J37" i="12"/>
  <c r="J37" i="32" s="1"/>
  <c r="K36" i="12"/>
  <c r="K36" i="32" s="1"/>
  <c r="J36" i="12"/>
  <c r="J36" i="32" s="1"/>
  <c r="K35" i="12"/>
  <c r="K35" i="32" s="1"/>
  <c r="J35" i="12"/>
  <c r="J35" i="32" s="1"/>
  <c r="K34" i="12"/>
  <c r="K34" i="32" s="1"/>
  <c r="J34" i="12"/>
  <c r="J34" i="32" s="1"/>
  <c r="K33" i="12"/>
  <c r="J33" i="12"/>
  <c r="K32" i="12"/>
  <c r="K32" i="32" s="1"/>
  <c r="J32" i="12"/>
  <c r="J32" i="32" s="1"/>
  <c r="K31" i="12"/>
  <c r="K31" i="32" s="1"/>
  <c r="J31" i="12"/>
  <c r="J31" i="32" s="1"/>
  <c r="K30" i="12"/>
  <c r="K30" i="32" s="1"/>
  <c r="J30" i="12"/>
  <c r="J30" i="32" s="1"/>
  <c r="K29" i="12"/>
  <c r="K29" i="32" s="1"/>
  <c r="J29" i="12"/>
  <c r="J29" i="32" s="1"/>
  <c r="K28" i="12"/>
  <c r="K28" i="32" s="1"/>
  <c r="J28" i="12"/>
  <c r="J28" i="32" s="1"/>
  <c r="K27" i="12"/>
  <c r="K27" i="32" s="1"/>
  <c r="J27" i="12"/>
  <c r="J27" i="32" s="1"/>
  <c r="K26" i="12"/>
  <c r="K26" i="32" s="1"/>
  <c r="J26" i="12"/>
  <c r="J26" i="32" s="1"/>
  <c r="K25" i="12"/>
  <c r="K25" i="32" s="1"/>
  <c r="J25" i="12"/>
  <c r="J25" i="32" s="1"/>
  <c r="K24" i="12"/>
  <c r="K24" i="32" s="1"/>
  <c r="J24" i="12"/>
  <c r="J24" i="32" s="1"/>
  <c r="K23" i="12"/>
  <c r="K23" i="32" s="1"/>
  <c r="J23" i="12"/>
  <c r="J23" i="32" s="1"/>
  <c r="K22" i="12"/>
  <c r="J22" i="12"/>
  <c r="J22" i="32" s="1"/>
  <c r="K21" i="12"/>
  <c r="K21" i="32" s="1"/>
  <c r="J21" i="12"/>
  <c r="J21" i="32" s="1"/>
  <c r="K20" i="12"/>
  <c r="J20" i="12"/>
  <c r="J20" i="32" s="1"/>
  <c r="K19" i="12"/>
  <c r="K19" i="32" s="1"/>
  <c r="J19" i="12"/>
  <c r="J19" i="32" s="1"/>
  <c r="K18" i="12"/>
  <c r="K18" i="32" s="1"/>
  <c r="J18" i="12"/>
  <c r="J18" i="32" s="1"/>
  <c r="K17" i="12"/>
  <c r="K17" i="32" s="1"/>
  <c r="J17" i="12"/>
  <c r="J17" i="32" s="1"/>
  <c r="K16" i="12"/>
  <c r="K16" i="32" s="1"/>
  <c r="J16" i="12"/>
  <c r="J16" i="32" s="1"/>
  <c r="K15" i="12"/>
  <c r="K15" i="32" s="1"/>
  <c r="J15" i="12"/>
  <c r="J15" i="32" s="1"/>
  <c r="K14" i="12"/>
  <c r="K14" i="32" s="1"/>
  <c r="J14" i="12"/>
  <c r="J14" i="32" s="1"/>
  <c r="K13" i="12"/>
  <c r="J13" i="12"/>
  <c r="K12" i="12"/>
  <c r="K12" i="32" s="1"/>
  <c r="J12" i="12"/>
  <c r="J12" i="32" s="1"/>
  <c r="K11" i="12"/>
  <c r="J11" i="12"/>
  <c r="K10" i="12"/>
  <c r="K10" i="32" s="1"/>
  <c r="J10" i="12"/>
  <c r="J10" i="32" s="1"/>
  <c r="K9" i="12"/>
  <c r="K9" i="32" s="1"/>
  <c r="J9" i="12"/>
  <c r="J9" i="32" s="1"/>
  <c r="K8" i="12"/>
  <c r="J8" i="12"/>
  <c r="G8" i="32"/>
  <c r="H8" i="32"/>
  <c r="I8" i="32"/>
  <c r="J8" i="32"/>
  <c r="K8" i="32"/>
  <c r="L8" i="32"/>
  <c r="M8" i="32"/>
  <c r="N8" i="32"/>
  <c r="O8" i="32"/>
  <c r="P8" i="32"/>
  <c r="Q8" i="32"/>
  <c r="R8" i="32"/>
  <c r="S8" i="32"/>
  <c r="T8" i="32"/>
  <c r="U8" i="32"/>
  <c r="V8" i="32"/>
  <c r="X8" i="32"/>
  <c r="Y8" i="32"/>
  <c r="Z8" i="32"/>
  <c r="AA8" i="32"/>
  <c r="AB8" i="32"/>
  <c r="AC8" i="32"/>
  <c r="AD8" i="32"/>
  <c r="AE8" i="32"/>
  <c r="AF8" i="32"/>
  <c r="AG8" i="32"/>
  <c r="AH8" i="32"/>
  <c r="AI8" i="32"/>
  <c r="AJ8" i="32"/>
  <c r="AK8" i="32"/>
  <c r="AL8" i="32"/>
  <c r="AM8" i="32"/>
  <c r="AN8" i="32"/>
  <c r="AO8" i="32"/>
  <c r="AP8" i="32"/>
  <c r="AR8" i="32"/>
  <c r="AS8" i="32"/>
  <c r="AT8" i="32"/>
  <c r="G9" i="32"/>
  <c r="H9" i="32"/>
  <c r="I9" i="32"/>
  <c r="L9" i="32"/>
  <c r="M9" i="32"/>
  <c r="N9" i="32"/>
  <c r="O9" i="32"/>
  <c r="P9" i="32"/>
  <c r="Q9" i="32"/>
  <c r="R9" i="32"/>
  <c r="S9" i="32"/>
  <c r="T9" i="32"/>
  <c r="U9" i="32"/>
  <c r="V9" i="32"/>
  <c r="X9" i="32"/>
  <c r="Y9" i="32"/>
  <c r="Z9" i="32"/>
  <c r="AA9" i="32"/>
  <c r="AB9" i="32"/>
  <c r="AC9" i="32"/>
  <c r="AD9" i="32"/>
  <c r="AE9" i="32"/>
  <c r="AF9" i="32"/>
  <c r="AG9" i="32"/>
  <c r="AH9" i="32"/>
  <c r="AI9" i="32"/>
  <c r="AJ9" i="32"/>
  <c r="AK9" i="32"/>
  <c r="AL9" i="32"/>
  <c r="AM9" i="32"/>
  <c r="AN9" i="32"/>
  <c r="AO9" i="32"/>
  <c r="AP9" i="32"/>
  <c r="AR9" i="32"/>
  <c r="AS9" i="32"/>
  <c r="AT9" i="32"/>
  <c r="G10" i="32"/>
  <c r="H10" i="32"/>
  <c r="I10" i="32"/>
  <c r="L10" i="32"/>
  <c r="M10" i="32"/>
  <c r="N10" i="32"/>
  <c r="O10" i="32"/>
  <c r="P10" i="32"/>
  <c r="Q10" i="32"/>
  <c r="R10" i="32"/>
  <c r="S10" i="32"/>
  <c r="T10" i="32"/>
  <c r="U10" i="32"/>
  <c r="V10" i="32"/>
  <c r="X10" i="32"/>
  <c r="Y10" i="32"/>
  <c r="Z10" i="32"/>
  <c r="AA10" i="32"/>
  <c r="AB10" i="32"/>
  <c r="AC10" i="32"/>
  <c r="AD10" i="32"/>
  <c r="AE10" i="32"/>
  <c r="AF10" i="32"/>
  <c r="AG10" i="32"/>
  <c r="AH10" i="32"/>
  <c r="AI10" i="32"/>
  <c r="AJ10" i="32"/>
  <c r="AK10" i="32"/>
  <c r="AL10" i="32"/>
  <c r="AM10" i="32"/>
  <c r="AN10" i="32"/>
  <c r="AO10" i="32"/>
  <c r="AP10" i="32"/>
  <c r="AR10" i="32"/>
  <c r="AS10" i="32"/>
  <c r="AT10" i="32"/>
  <c r="G11" i="32"/>
  <c r="H11" i="32"/>
  <c r="I11" i="32"/>
  <c r="J11" i="32"/>
  <c r="K11" i="32"/>
  <c r="L11" i="32"/>
  <c r="M11" i="32"/>
  <c r="N11" i="32"/>
  <c r="O11" i="32"/>
  <c r="P11" i="32"/>
  <c r="Q11" i="32"/>
  <c r="R11" i="32"/>
  <c r="S11" i="32"/>
  <c r="T11" i="32"/>
  <c r="U11" i="32"/>
  <c r="V11" i="32"/>
  <c r="W11" i="32"/>
  <c r="X11" i="32"/>
  <c r="Y11" i="32"/>
  <c r="Z11" i="32"/>
  <c r="AA11" i="32"/>
  <c r="AB11" i="32"/>
  <c r="AC11" i="32"/>
  <c r="AD11" i="32"/>
  <c r="AE11" i="32"/>
  <c r="AF11" i="32"/>
  <c r="AG11" i="32"/>
  <c r="AH11" i="32"/>
  <c r="AI11" i="32"/>
  <c r="AJ11" i="32"/>
  <c r="AK11" i="32"/>
  <c r="AL11" i="32"/>
  <c r="AM11" i="32"/>
  <c r="AN11" i="32"/>
  <c r="AO11" i="32"/>
  <c r="AP11" i="32"/>
  <c r="AQ11" i="32"/>
  <c r="AR11" i="32"/>
  <c r="AS11" i="32"/>
  <c r="AT11" i="32"/>
  <c r="G12" i="32"/>
  <c r="H12" i="32"/>
  <c r="I12" i="32"/>
  <c r="L12" i="32"/>
  <c r="M12" i="32"/>
  <c r="N12" i="32"/>
  <c r="O12" i="32"/>
  <c r="P12" i="32"/>
  <c r="Q12" i="32"/>
  <c r="R12" i="32"/>
  <c r="S12" i="32"/>
  <c r="T12" i="32"/>
  <c r="U12" i="32"/>
  <c r="V12" i="32"/>
  <c r="X12" i="32"/>
  <c r="Y12" i="32"/>
  <c r="Z12" i="32"/>
  <c r="AA12" i="32"/>
  <c r="AB12" i="32"/>
  <c r="AC12" i="32"/>
  <c r="AD12" i="32"/>
  <c r="AE12" i="32"/>
  <c r="AF12" i="32"/>
  <c r="AG12" i="32"/>
  <c r="AH12" i="32"/>
  <c r="AI12" i="32"/>
  <c r="AJ12" i="32"/>
  <c r="AK12" i="32"/>
  <c r="AL12" i="32"/>
  <c r="AM12" i="32"/>
  <c r="AN12" i="32"/>
  <c r="AO12" i="32"/>
  <c r="AP12" i="32"/>
  <c r="AR12" i="32"/>
  <c r="AS12" i="32"/>
  <c r="AT12" i="32"/>
  <c r="G13" i="32"/>
  <c r="H13" i="32"/>
  <c r="I13" i="32"/>
  <c r="J13" i="32"/>
  <c r="K13" i="32"/>
  <c r="L13" i="32"/>
  <c r="M13" i="32"/>
  <c r="N13" i="32"/>
  <c r="O13" i="32"/>
  <c r="P13" i="32"/>
  <c r="Q13" i="32"/>
  <c r="R13" i="32"/>
  <c r="S13" i="32"/>
  <c r="T13" i="32"/>
  <c r="U13" i="32"/>
  <c r="V13" i="32"/>
  <c r="W13" i="32"/>
  <c r="X13" i="32"/>
  <c r="Y13" i="32"/>
  <c r="Z13" i="32"/>
  <c r="AA13" i="32"/>
  <c r="AB13" i="32"/>
  <c r="AC13" i="32"/>
  <c r="AD13" i="32"/>
  <c r="AE13" i="32"/>
  <c r="AF13" i="32"/>
  <c r="AG13" i="32"/>
  <c r="AH13" i="32"/>
  <c r="AI13" i="32"/>
  <c r="AJ13" i="32"/>
  <c r="AK13" i="32"/>
  <c r="AL13" i="32"/>
  <c r="AM13" i="32"/>
  <c r="AN13" i="32"/>
  <c r="AO13" i="32"/>
  <c r="AP13" i="32"/>
  <c r="AQ13" i="32"/>
  <c r="AR13" i="32"/>
  <c r="AS13" i="32"/>
  <c r="AT13" i="32"/>
  <c r="G14" i="32"/>
  <c r="H14" i="32"/>
  <c r="I14" i="32"/>
  <c r="L14" i="32"/>
  <c r="M14" i="32"/>
  <c r="N14" i="32"/>
  <c r="O14" i="32"/>
  <c r="P14" i="32"/>
  <c r="Q14" i="32"/>
  <c r="R14" i="32"/>
  <c r="S14" i="32"/>
  <c r="T14" i="32"/>
  <c r="U14" i="32"/>
  <c r="V14" i="32"/>
  <c r="X14" i="32"/>
  <c r="Y14" i="32"/>
  <c r="Z14" i="32"/>
  <c r="AA14" i="32"/>
  <c r="AB14" i="32"/>
  <c r="AC14" i="32"/>
  <c r="AD14" i="32"/>
  <c r="AE14" i="32"/>
  <c r="AF14" i="32"/>
  <c r="AG14" i="32"/>
  <c r="AH14" i="32"/>
  <c r="AI14" i="32"/>
  <c r="AJ14" i="32"/>
  <c r="AK14" i="32"/>
  <c r="AL14" i="32"/>
  <c r="AM14" i="32"/>
  <c r="AN14" i="32"/>
  <c r="AO14" i="32"/>
  <c r="AP14" i="32"/>
  <c r="AR14" i="32"/>
  <c r="AS14" i="32"/>
  <c r="AT14" i="32"/>
  <c r="G15" i="32"/>
  <c r="H15" i="32"/>
  <c r="I15" i="32"/>
  <c r="L15" i="32"/>
  <c r="M15" i="32"/>
  <c r="N15" i="32"/>
  <c r="O15" i="32"/>
  <c r="P15" i="32"/>
  <c r="Q15" i="32"/>
  <c r="R15" i="32"/>
  <c r="S15" i="32"/>
  <c r="T15" i="32"/>
  <c r="U15" i="32"/>
  <c r="V15" i="32"/>
  <c r="W15" i="32"/>
  <c r="X15" i="32"/>
  <c r="Y15" i="32"/>
  <c r="Z15" i="32"/>
  <c r="AA15" i="32"/>
  <c r="AB15" i="32"/>
  <c r="AC15" i="32"/>
  <c r="AD15" i="32"/>
  <c r="AE15" i="32"/>
  <c r="AF15" i="32"/>
  <c r="AG15" i="32"/>
  <c r="AH15" i="32"/>
  <c r="AI15" i="32"/>
  <c r="AJ15" i="32"/>
  <c r="AK15" i="32"/>
  <c r="AL15" i="32"/>
  <c r="AM15" i="32"/>
  <c r="AN15" i="32"/>
  <c r="AO15" i="32"/>
  <c r="AP15" i="32"/>
  <c r="AR15" i="32"/>
  <c r="AS15" i="32"/>
  <c r="AT15" i="32"/>
  <c r="G16" i="32"/>
  <c r="H16" i="32"/>
  <c r="I16" i="32"/>
  <c r="L16" i="32"/>
  <c r="M16" i="32"/>
  <c r="N16" i="32"/>
  <c r="O16" i="32"/>
  <c r="P16" i="32"/>
  <c r="Q16" i="32"/>
  <c r="R16" i="32"/>
  <c r="S16" i="32"/>
  <c r="T16" i="32"/>
  <c r="U16" i="32"/>
  <c r="V16" i="32"/>
  <c r="X16" i="32"/>
  <c r="Y16" i="32"/>
  <c r="Z16" i="32"/>
  <c r="AA16" i="32"/>
  <c r="AB16" i="32"/>
  <c r="AC16" i="32"/>
  <c r="AD16" i="32"/>
  <c r="AE16" i="32"/>
  <c r="AF16" i="32"/>
  <c r="AG16" i="32"/>
  <c r="AH16" i="32"/>
  <c r="AI16" i="32"/>
  <c r="AJ16" i="32"/>
  <c r="AK16" i="32"/>
  <c r="AL16" i="32"/>
  <c r="AM16" i="32"/>
  <c r="AN16" i="32"/>
  <c r="AO16" i="32"/>
  <c r="AP16" i="32"/>
  <c r="AR16" i="32"/>
  <c r="AS16" i="32"/>
  <c r="AT16" i="32"/>
  <c r="G17" i="32"/>
  <c r="H17" i="32"/>
  <c r="I17" i="32"/>
  <c r="L17" i="32"/>
  <c r="M17" i="32"/>
  <c r="N17" i="32"/>
  <c r="O17" i="32"/>
  <c r="P17" i="32"/>
  <c r="Q17" i="32"/>
  <c r="R17" i="32"/>
  <c r="S17" i="32"/>
  <c r="T17" i="32"/>
  <c r="U17" i="32"/>
  <c r="V17" i="32"/>
  <c r="X17" i="32"/>
  <c r="Y17" i="32"/>
  <c r="Z17" i="32"/>
  <c r="AA17" i="32"/>
  <c r="AB17" i="32"/>
  <c r="AC17" i="32"/>
  <c r="AD17" i="32"/>
  <c r="AE17" i="32"/>
  <c r="AF17" i="32"/>
  <c r="AG17" i="32"/>
  <c r="AH17" i="32"/>
  <c r="AI17" i="32"/>
  <c r="AJ17" i="32"/>
  <c r="AK17" i="32"/>
  <c r="AL17" i="32"/>
  <c r="AM17" i="32"/>
  <c r="AN17" i="32"/>
  <c r="AO17" i="32"/>
  <c r="AP17" i="32"/>
  <c r="AR17" i="32"/>
  <c r="AS17" i="32"/>
  <c r="AT17" i="32"/>
  <c r="G18" i="32"/>
  <c r="H18" i="32"/>
  <c r="I18" i="32"/>
  <c r="L18" i="32"/>
  <c r="M18" i="32"/>
  <c r="N18" i="32"/>
  <c r="O18" i="32"/>
  <c r="P18" i="32"/>
  <c r="Q18" i="32"/>
  <c r="R18" i="32"/>
  <c r="S18" i="32"/>
  <c r="T18" i="32"/>
  <c r="U18" i="32"/>
  <c r="V18" i="32"/>
  <c r="X18" i="32"/>
  <c r="Y18" i="32"/>
  <c r="Z18" i="32"/>
  <c r="AA18" i="32"/>
  <c r="AB18" i="32"/>
  <c r="AC18" i="32"/>
  <c r="AD18" i="32"/>
  <c r="AE18" i="32"/>
  <c r="AF18" i="32"/>
  <c r="AG18" i="32"/>
  <c r="AH18" i="32"/>
  <c r="AI18" i="32"/>
  <c r="AJ18" i="32"/>
  <c r="AK18" i="32"/>
  <c r="AL18" i="32"/>
  <c r="AM18" i="32"/>
  <c r="AN18" i="32"/>
  <c r="AO18" i="32"/>
  <c r="AP18" i="32"/>
  <c r="AR18" i="32"/>
  <c r="AS18" i="32"/>
  <c r="AT18" i="32"/>
  <c r="G19" i="32"/>
  <c r="H19" i="32"/>
  <c r="I19" i="32"/>
  <c r="L19" i="32"/>
  <c r="M19" i="32"/>
  <c r="N19" i="32"/>
  <c r="O19" i="32"/>
  <c r="P19" i="32"/>
  <c r="Q19" i="32"/>
  <c r="R19" i="32"/>
  <c r="S19" i="32"/>
  <c r="T19" i="32"/>
  <c r="U19" i="32"/>
  <c r="V19" i="32"/>
  <c r="X19" i="32"/>
  <c r="Y19" i="32"/>
  <c r="Z19" i="32"/>
  <c r="AA19" i="32"/>
  <c r="AB19" i="32"/>
  <c r="AC19" i="32"/>
  <c r="AD19" i="32"/>
  <c r="AE19" i="32"/>
  <c r="AF19" i="32"/>
  <c r="AG19" i="32"/>
  <c r="AH19" i="32"/>
  <c r="AI19" i="32"/>
  <c r="AJ19" i="32"/>
  <c r="AK19" i="32"/>
  <c r="AL19" i="32"/>
  <c r="AM19" i="32"/>
  <c r="AN19" i="32"/>
  <c r="AO19" i="32"/>
  <c r="AP19" i="32"/>
  <c r="AR19" i="32"/>
  <c r="AS19" i="32"/>
  <c r="AT19" i="32"/>
  <c r="G20" i="32"/>
  <c r="H20" i="32"/>
  <c r="I20" i="32"/>
  <c r="K20" i="32"/>
  <c r="L20" i="32"/>
  <c r="M20" i="32"/>
  <c r="N20" i="32"/>
  <c r="O20" i="32"/>
  <c r="P20" i="32"/>
  <c r="Q20" i="32"/>
  <c r="R20" i="32"/>
  <c r="S20" i="32"/>
  <c r="T20" i="32"/>
  <c r="U20" i="32"/>
  <c r="V20" i="32"/>
  <c r="W20" i="32"/>
  <c r="X20" i="32"/>
  <c r="Y20" i="32"/>
  <c r="Z20" i="32"/>
  <c r="AA20" i="32"/>
  <c r="AB20" i="32"/>
  <c r="AC20" i="32"/>
  <c r="AD20" i="32"/>
  <c r="AE20" i="32"/>
  <c r="AF20" i="32"/>
  <c r="AG20" i="32"/>
  <c r="AH20" i="32"/>
  <c r="AI20" i="32"/>
  <c r="AJ20" i="32"/>
  <c r="AK20" i="32"/>
  <c r="AL20" i="32"/>
  <c r="AM20" i="32"/>
  <c r="AN20" i="32"/>
  <c r="AO20" i="32"/>
  <c r="AP20" i="32"/>
  <c r="AR20" i="32"/>
  <c r="AS20" i="32"/>
  <c r="AT20" i="32"/>
  <c r="G21" i="32"/>
  <c r="H21" i="32"/>
  <c r="I21" i="32"/>
  <c r="L21" i="32"/>
  <c r="M21" i="32"/>
  <c r="N21" i="32"/>
  <c r="O21" i="32"/>
  <c r="P21" i="32"/>
  <c r="Q21" i="32"/>
  <c r="R21" i="32"/>
  <c r="S21" i="32"/>
  <c r="T21" i="32"/>
  <c r="U21" i="32"/>
  <c r="V21" i="32"/>
  <c r="X21" i="32"/>
  <c r="Y21" i="32"/>
  <c r="Z21" i="32"/>
  <c r="AA21" i="32"/>
  <c r="AB21" i="32"/>
  <c r="AC21" i="32"/>
  <c r="AD21" i="32"/>
  <c r="AE21" i="32"/>
  <c r="AF21" i="32"/>
  <c r="AG21" i="32"/>
  <c r="AH21" i="32"/>
  <c r="AI21" i="32"/>
  <c r="AJ21" i="32"/>
  <c r="AK21" i="32"/>
  <c r="AL21" i="32"/>
  <c r="AM21" i="32"/>
  <c r="AN21" i="32"/>
  <c r="AO21" i="32"/>
  <c r="AP21" i="32"/>
  <c r="AR21" i="32"/>
  <c r="AS21" i="32"/>
  <c r="AT21" i="32"/>
  <c r="G22" i="32"/>
  <c r="H22" i="32"/>
  <c r="I22" i="32"/>
  <c r="K22" i="32"/>
  <c r="L22" i="32"/>
  <c r="M22" i="32"/>
  <c r="N22" i="32"/>
  <c r="O22" i="32"/>
  <c r="P22" i="32"/>
  <c r="Q22" i="32"/>
  <c r="R22" i="32"/>
  <c r="S22" i="32"/>
  <c r="T22" i="32"/>
  <c r="U22" i="32"/>
  <c r="V22" i="32"/>
  <c r="X22" i="32"/>
  <c r="Y22" i="32"/>
  <c r="Z22" i="32"/>
  <c r="AA22" i="32"/>
  <c r="AB22" i="32"/>
  <c r="AC22" i="32"/>
  <c r="AD22" i="32"/>
  <c r="AE22" i="32"/>
  <c r="AF22" i="32"/>
  <c r="AG22" i="32"/>
  <c r="AH22" i="32"/>
  <c r="AI22" i="32"/>
  <c r="AJ22" i="32"/>
  <c r="AK22" i="32"/>
  <c r="AL22" i="32"/>
  <c r="AM22" i="32"/>
  <c r="AN22" i="32"/>
  <c r="AO22" i="32"/>
  <c r="AP22" i="32"/>
  <c r="AR22" i="32"/>
  <c r="AS22" i="32"/>
  <c r="AT22" i="32"/>
  <c r="G23" i="32"/>
  <c r="H23" i="32"/>
  <c r="I23" i="32"/>
  <c r="L23" i="32"/>
  <c r="M23" i="32"/>
  <c r="N23" i="32"/>
  <c r="O23" i="32"/>
  <c r="P23" i="32"/>
  <c r="Q23" i="32"/>
  <c r="R23" i="32"/>
  <c r="S23" i="32"/>
  <c r="T23" i="32"/>
  <c r="U23" i="32"/>
  <c r="V23" i="32"/>
  <c r="X23" i="32"/>
  <c r="Y23" i="32"/>
  <c r="Z23" i="32"/>
  <c r="AA23" i="32"/>
  <c r="AB23" i="32"/>
  <c r="AC23" i="32"/>
  <c r="AD23" i="32"/>
  <c r="AE23" i="32"/>
  <c r="AF23" i="32"/>
  <c r="AG23" i="32"/>
  <c r="AH23" i="32"/>
  <c r="AI23" i="32"/>
  <c r="AJ23" i="32"/>
  <c r="AK23" i="32"/>
  <c r="AL23" i="32"/>
  <c r="AM23" i="32"/>
  <c r="AN23" i="32"/>
  <c r="AO23" i="32"/>
  <c r="AP23" i="32"/>
  <c r="AR23" i="32"/>
  <c r="AS23" i="32"/>
  <c r="AT23" i="32"/>
  <c r="G24" i="32"/>
  <c r="H24" i="32"/>
  <c r="I24" i="32"/>
  <c r="L24" i="32"/>
  <c r="M24" i="32"/>
  <c r="N24" i="32"/>
  <c r="O24" i="32"/>
  <c r="P24" i="32"/>
  <c r="Q24" i="32"/>
  <c r="R24" i="32"/>
  <c r="S24" i="32"/>
  <c r="T24" i="32"/>
  <c r="U24" i="32"/>
  <c r="V24" i="32"/>
  <c r="X24" i="32"/>
  <c r="Y24" i="32"/>
  <c r="Z24" i="32"/>
  <c r="AA24" i="32"/>
  <c r="AB24" i="32"/>
  <c r="AC24" i="32"/>
  <c r="AD24" i="32"/>
  <c r="AE24" i="32"/>
  <c r="AF24" i="32"/>
  <c r="AG24" i="32"/>
  <c r="AH24" i="32"/>
  <c r="AI24" i="32"/>
  <c r="AJ24" i="32"/>
  <c r="AK24" i="32"/>
  <c r="AL24" i="32"/>
  <c r="AM24" i="32"/>
  <c r="AN24" i="32"/>
  <c r="AO24" i="32"/>
  <c r="AP24" i="32"/>
  <c r="AR24" i="32"/>
  <c r="AS24" i="32"/>
  <c r="AT24" i="32"/>
  <c r="G25" i="32"/>
  <c r="H25" i="32"/>
  <c r="I25" i="32"/>
  <c r="L25" i="32"/>
  <c r="M25" i="32"/>
  <c r="N25" i="32"/>
  <c r="O25" i="32"/>
  <c r="P25" i="32"/>
  <c r="Q25" i="32"/>
  <c r="R25" i="32"/>
  <c r="S25" i="32"/>
  <c r="T25" i="32"/>
  <c r="U25" i="32"/>
  <c r="V25" i="32"/>
  <c r="X25" i="32"/>
  <c r="Y25" i="32"/>
  <c r="Z25" i="32"/>
  <c r="AA25" i="32"/>
  <c r="AB25" i="32"/>
  <c r="AC25" i="32"/>
  <c r="AD25" i="32"/>
  <c r="AE25" i="32"/>
  <c r="AF25" i="32"/>
  <c r="AG25" i="32"/>
  <c r="AH25" i="32"/>
  <c r="AI25" i="32"/>
  <c r="AJ25" i="32"/>
  <c r="AK25" i="32"/>
  <c r="AL25" i="32"/>
  <c r="AM25" i="32"/>
  <c r="AN25" i="32"/>
  <c r="AO25" i="32"/>
  <c r="AP25" i="32"/>
  <c r="AR25" i="32"/>
  <c r="AS25" i="32"/>
  <c r="AT25" i="32"/>
  <c r="G26" i="32"/>
  <c r="H26" i="32"/>
  <c r="I26" i="32"/>
  <c r="L26" i="32"/>
  <c r="M26" i="32"/>
  <c r="N26" i="32"/>
  <c r="O26" i="32"/>
  <c r="P26" i="32"/>
  <c r="Q26" i="32"/>
  <c r="R26" i="32"/>
  <c r="S26" i="32"/>
  <c r="T26" i="32"/>
  <c r="U26" i="32"/>
  <c r="V26" i="32"/>
  <c r="X26" i="32"/>
  <c r="Y26" i="32"/>
  <c r="Z26" i="32"/>
  <c r="AA26" i="32"/>
  <c r="AB26" i="32"/>
  <c r="AC26" i="32"/>
  <c r="AD26" i="32"/>
  <c r="AE26" i="32"/>
  <c r="AF26" i="32"/>
  <c r="AG26" i="32"/>
  <c r="AH26" i="32"/>
  <c r="AI26" i="32"/>
  <c r="AJ26" i="32"/>
  <c r="AK26" i="32"/>
  <c r="AL26" i="32"/>
  <c r="AM26" i="32"/>
  <c r="AN26" i="32"/>
  <c r="AO26" i="32"/>
  <c r="AP26" i="32"/>
  <c r="AR26" i="32"/>
  <c r="AS26" i="32"/>
  <c r="AT26" i="32"/>
  <c r="G27" i="32"/>
  <c r="H27" i="32"/>
  <c r="I27" i="32"/>
  <c r="L27" i="32"/>
  <c r="M27" i="32"/>
  <c r="N27" i="32"/>
  <c r="O27" i="32"/>
  <c r="P27" i="32"/>
  <c r="Q27" i="32"/>
  <c r="R27" i="32"/>
  <c r="S27" i="32"/>
  <c r="T27" i="32"/>
  <c r="U27" i="32"/>
  <c r="V27" i="32"/>
  <c r="X27" i="32"/>
  <c r="Y27" i="32"/>
  <c r="Z27" i="32"/>
  <c r="AA27" i="32"/>
  <c r="AB27" i="32"/>
  <c r="AC27" i="32"/>
  <c r="AD27" i="32"/>
  <c r="AE27" i="32"/>
  <c r="AF27" i="32"/>
  <c r="AG27" i="32"/>
  <c r="AH27" i="32"/>
  <c r="AI27" i="32"/>
  <c r="AJ27" i="32"/>
  <c r="AK27" i="32"/>
  <c r="AL27" i="32"/>
  <c r="AM27" i="32"/>
  <c r="AN27" i="32"/>
  <c r="AO27" i="32"/>
  <c r="AP27" i="32"/>
  <c r="AR27" i="32"/>
  <c r="AS27" i="32"/>
  <c r="AT27" i="32"/>
  <c r="G28" i="32"/>
  <c r="H28" i="32"/>
  <c r="I28" i="32"/>
  <c r="L28" i="32"/>
  <c r="M28" i="32"/>
  <c r="N28" i="32"/>
  <c r="O28" i="32"/>
  <c r="P28" i="32"/>
  <c r="Q28" i="32"/>
  <c r="R28" i="32"/>
  <c r="S28" i="32"/>
  <c r="T28" i="32"/>
  <c r="U28" i="32"/>
  <c r="V28" i="32"/>
  <c r="W28" i="32"/>
  <c r="X28" i="32"/>
  <c r="Y28" i="32"/>
  <c r="Z28" i="32"/>
  <c r="AA28" i="32"/>
  <c r="AB28" i="32"/>
  <c r="AC28" i="32"/>
  <c r="AD28" i="32"/>
  <c r="AE28" i="32"/>
  <c r="AF28" i="32"/>
  <c r="AG28" i="32"/>
  <c r="AH28" i="32"/>
  <c r="AI28" i="32"/>
  <c r="AJ28" i="32"/>
  <c r="AK28" i="32"/>
  <c r="AL28" i="32"/>
  <c r="AM28" i="32"/>
  <c r="AN28" i="32"/>
  <c r="AO28" i="32"/>
  <c r="AP28" i="32"/>
  <c r="AR28" i="32"/>
  <c r="AS28" i="32"/>
  <c r="AT28" i="32"/>
  <c r="G29" i="32"/>
  <c r="H29" i="32"/>
  <c r="I29" i="32"/>
  <c r="L29" i="32"/>
  <c r="M29" i="32"/>
  <c r="N29" i="32"/>
  <c r="O29" i="32"/>
  <c r="P29" i="32"/>
  <c r="Q29" i="32"/>
  <c r="R29" i="32"/>
  <c r="S29" i="32"/>
  <c r="T29" i="32"/>
  <c r="U29" i="32"/>
  <c r="V29" i="32"/>
  <c r="X29" i="32"/>
  <c r="Y29" i="32"/>
  <c r="Z29" i="32"/>
  <c r="AA29" i="32"/>
  <c r="AB29" i="32"/>
  <c r="AC29" i="32"/>
  <c r="AD29" i="32"/>
  <c r="AE29" i="32"/>
  <c r="AF29" i="32"/>
  <c r="AG29" i="32"/>
  <c r="AH29" i="32"/>
  <c r="AI29" i="32"/>
  <c r="AJ29" i="32"/>
  <c r="AK29" i="32"/>
  <c r="AL29" i="32"/>
  <c r="AM29" i="32"/>
  <c r="AN29" i="32"/>
  <c r="AO29" i="32"/>
  <c r="AP29" i="32"/>
  <c r="AR29" i="32"/>
  <c r="AS29" i="32"/>
  <c r="AT29" i="32"/>
  <c r="G30" i="32"/>
  <c r="H30" i="32"/>
  <c r="I30" i="32"/>
  <c r="L30" i="32"/>
  <c r="M30" i="32"/>
  <c r="N30" i="32"/>
  <c r="O30" i="32"/>
  <c r="P30" i="32"/>
  <c r="Q30" i="32"/>
  <c r="R30" i="32"/>
  <c r="S30" i="32"/>
  <c r="T30" i="32"/>
  <c r="U30" i="32"/>
  <c r="V30" i="32"/>
  <c r="X30" i="32"/>
  <c r="Y30" i="32"/>
  <c r="Z30" i="32"/>
  <c r="AA30" i="32"/>
  <c r="AB30" i="32"/>
  <c r="AC30" i="32"/>
  <c r="AD30" i="32"/>
  <c r="AE30" i="32"/>
  <c r="AF30" i="32"/>
  <c r="AG30" i="32"/>
  <c r="AH30" i="32"/>
  <c r="AI30" i="32"/>
  <c r="AJ30" i="32"/>
  <c r="AK30" i="32"/>
  <c r="AL30" i="32"/>
  <c r="AM30" i="32"/>
  <c r="AN30" i="32"/>
  <c r="AO30" i="32"/>
  <c r="AP30" i="32"/>
  <c r="AR30" i="32"/>
  <c r="AS30" i="32"/>
  <c r="AT30" i="32"/>
  <c r="G31" i="32"/>
  <c r="H31" i="32"/>
  <c r="I31" i="32"/>
  <c r="L31" i="32"/>
  <c r="M31" i="32"/>
  <c r="N31" i="32"/>
  <c r="O31" i="32"/>
  <c r="P31" i="32"/>
  <c r="Q31" i="32"/>
  <c r="R31" i="32"/>
  <c r="S31" i="32"/>
  <c r="T31" i="32"/>
  <c r="U31" i="32"/>
  <c r="V31" i="32"/>
  <c r="X31" i="32"/>
  <c r="Y31" i="32"/>
  <c r="Z31" i="32"/>
  <c r="AA31" i="32"/>
  <c r="AB31" i="32"/>
  <c r="AC31" i="32"/>
  <c r="AD31" i="32"/>
  <c r="AE31" i="32"/>
  <c r="AF31" i="32"/>
  <c r="AG31" i="32"/>
  <c r="AH31" i="32"/>
  <c r="AI31" i="32"/>
  <c r="AJ31" i="32"/>
  <c r="AK31" i="32"/>
  <c r="AL31" i="32"/>
  <c r="AM31" i="32"/>
  <c r="AN31" i="32"/>
  <c r="AO31" i="32"/>
  <c r="AP31" i="32"/>
  <c r="AR31" i="32"/>
  <c r="AS31" i="32"/>
  <c r="AT31" i="32"/>
  <c r="G32" i="32"/>
  <c r="H32" i="32"/>
  <c r="I32" i="32"/>
  <c r="L32" i="32"/>
  <c r="M32" i="32"/>
  <c r="N32" i="32"/>
  <c r="O32" i="32"/>
  <c r="P32" i="32"/>
  <c r="Q32" i="32"/>
  <c r="R32" i="32"/>
  <c r="S32" i="32"/>
  <c r="T32" i="32"/>
  <c r="U32" i="32"/>
  <c r="V32" i="32"/>
  <c r="X32" i="32"/>
  <c r="Y32" i="32"/>
  <c r="Z32" i="32"/>
  <c r="AA32" i="32"/>
  <c r="AB32" i="32"/>
  <c r="AC32" i="32"/>
  <c r="AD32" i="32"/>
  <c r="AE32" i="32"/>
  <c r="AF32" i="32"/>
  <c r="AG32" i="32"/>
  <c r="AH32" i="32"/>
  <c r="AI32" i="32"/>
  <c r="AJ32" i="32"/>
  <c r="AK32" i="32"/>
  <c r="AL32" i="32"/>
  <c r="AM32" i="32"/>
  <c r="AN32" i="32"/>
  <c r="AO32" i="32"/>
  <c r="AP32" i="32"/>
  <c r="AR32" i="32"/>
  <c r="AS32" i="32"/>
  <c r="AT32" i="32"/>
  <c r="G33" i="32"/>
  <c r="H33" i="32"/>
  <c r="I33" i="32"/>
  <c r="J33" i="32"/>
  <c r="K33" i="32"/>
  <c r="L33" i="32"/>
  <c r="M33"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G34" i="32"/>
  <c r="H34" i="32"/>
  <c r="I34" i="32"/>
  <c r="L34" i="32"/>
  <c r="M34" i="32"/>
  <c r="N34" i="32"/>
  <c r="O34" i="32"/>
  <c r="P34" i="32"/>
  <c r="Q34" i="32"/>
  <c r="R34" i="32"/>
  <c r="S34" i="32"/>
  <c r="T34" i="32"/>
  <c r="U34" i="32"/>
  <c r="V34" i="32"/>
  <c r="X34" i="32"/>
  <c r="Y34" i="32"/>
  <c r="Z34" i="32"/>
  <c r="AA34" i="32"/>
  <c r="AB34" i="32"/>
  <c r="AC34" i="32"/>
  <c r="AD34" i="32"/>
  <c r="AE34" i="32"/>
  <c r="AF34" i="32"/>
  <c r="AG34" i="32"/>
  <c r="AH34" i="32"/>
  <c r="AI34" i="32"/>
  <c r="AJ34" i="32"/>
  <c r="AK34" i="32"/>
  <c r="AL34" i="32"/>
  <c r="AM34" i="32"/>
  <c r="AN34" i="32"/>
  <c r="AO34" i="32"/>
  <c r="AP34" i="32"/>
  <c r="AR34" i="32"/>
  <c r="AS34" i="32"/>
  <c r="AT34" i="32"/>
  <c r="G35" i="32"/>
  <c r="H35" i="32"/>
  <c r="I35" i="32"/>
  <c r="L35" i="32"/>
  <c r="M35" i="32"/>
  <c r="N35" i="32"/>
  <c r="O35" i="32"/>
  <c r="P35" i="32"/>
  <c r="Q35" i="32"/>
  <c r="R35" i="32"/>
  <c r="S35" i="32"/>
  <c r="T35" i="32"/>
  <c r="U35" i="32"/>
  <c r="V35" i="32"/>
  <c r="X35" i="32"/>
  <c r="Y35" i="32"/>
  <c r="Z35" i="32"/>
  <c r="AA35" i="32"/>
  <c r="AB35" i="32"/>
  <c r="AC35" i="32"/>
  <c r="AD35" i="32"/>
  <c r="AE35" i="32"/>
  <c r="AF35" i="32"/>
  <c r="AG35" i="32"/>
  <c r="AH35" i="32"/>
  <c r="AI35" i="32"/>
  <c r="AJ35" i="32"/>
  <c r="AK35" i="32"/>
  <c r="AL35" i="32"/>
  <c r="AM35" i="32"/>
  <c r="AN35" i="32"/>
  <c r="AO35" i="32"/>
  <c r="AP35" i="32"/>
  <c r="AR35" i="32"/>
  <c r="AS35" i="32"/>
  <c r="AT35" i="32"/>
  <c r="G36" i="32"/>
  <c r="H36" i="32"/>
  <c r="I36" i="32"/>
  <c r="L36" i="32"/>
  <c r="M36" i="32"/>
  <c r="N36" i="32"/>
  <c r="O36" i="32"/>
  <c r="P36" i="32"/>
  <c r="Q36" i="32"/>
  <c r="R36" i="32"/>
  <c r="S36" i="32"/>
  <c r="T36" i="32"/>
  <c r="U36" i="32"/>
  <c r="V36" i="32"/>
  <c r="X36" i="32"/>
  <c r="Y36" i="32"/>
  <c r="Z36" i="32"/>
  <c r="AA36" i="32"/>
  <c r="AB36" i="32"/>
  <c r="AC36" i="32"/>
  <c r="AD36" i="32"/>
  <c r="AE36" i="32"/>
  <c r="AF36" i="32"/>
  <c r="AG36" i="32"/>
  <c r="AH36" i="32"/>
  <c r="AI36" i="32"/>
  <c r="AJ36" i="32"/>
  <c r="AK36" i="32"/>
  <c r="AL36" i="32"/>
  <c r="AM36" i="32"/>
  <c r="AN36" i="32"/>
  <c r="AO36" i="32"/>
  <c r="AP36" i="32"/>
  <c r="AR36" i="32"/>
  <c r="AS36" i="32"/>
  <c r="AT36" i="32"/>
  <c r="G37" i="32"/>
  <c r="H37" i="32"/>
  <c r="I37" i="32"/>
  <c r="K37" i="32"/>
  <c r="L37" i="32"/>
  <c r="M37" i="32"/>
  <c r="N37" i="32"/>
  <c r="O37" i="32"/>
  <c r="P37" i="32"/>
  <c r="Q37" i="32"/>
  <c r="R37" i="32"/>
  <c r="S37" i="32"/>
  <c r="T37" i="32"/>
  <c r="U37" i="32"/>
  <c r="V37" i="32"/>
  <c r="X37" i="32"/>
  <c r="Y37" i="32"/>
  <c r="Z37" i="32"/>
  <c r="AA37" i="32"/>
  <c r="AB37" i="32"/>
  <c r="AC37" i="32"/>
  <c r="AD37" i="32"/>
  <c r="AE37" i="32"/>
  <c r="AF37" i="32"/>
  <c r="AG37" i="32"/>
  <c r="AH37" i="32"/>
  <c r="AI37" i="32"/>
  <c r="AJ37" i="32"/>
  <c r="AK37" i="32"/>
  <c r="AL37" i="32"/>
  <c r="AM37" i="32"/>
  <c r="AN37" i="32"/>
  <c r="AO37" i="32"/>
  <c r="AP37" i="32"/>
  <c r="AR37" i="32"/>
  <c r="AS37" i="32"/>
  <c r="AT37" i="32"/>
  <c r="G38" i="32"/>
  <c r="H38" i="32"/>
  <c r="I38" i="32"/>
  <c r="L38" i="32"/>
  <c r="M38" i="32"/>
  <c r="N38" i="32"/>
  <c r="O38" i="32"/>
  <c r="P38" i="32"/>
  <c r="Q38" i="32"/>
  <c r="R38" i="32"/>
  <c r="S38" i="32"/>
  <c r="T38" i="32"/>
  <c r="U38" i="32"/>
  <c r="V38" i="32"/>
  <c r="X38" i="32"/>
  <c r="Y38" i="32"/>
  <c r="Z38" i="32"/>
  <c r="AA38" i="32"/>
  <c r="AB38" i="32"/>
  <c r="AC38" i="32"/>
  <c r="AD38" i="32"/>
  <c r="AE38" i="32"/>
  <c r="AF38" i="32"/>
  <c r="AG38" i="32"/>
  <c r="AH38" i="32"/>
  <c r="AI38" i="32"/>
  <c r="AJ38" i="32"/>
  <c r="AK38" i="32"/>
  <c r="AL38" i="32"/>
  <c r="AM38" i="32"/>
  <c r="AN38" i="32"/>
  <c r="AO38" i="32"/>
  <c r="AP38" i="32"/>
  <c r="AR38" i="32"/>
  <c r="AS38" i="32"/>
  <c r="AT38" i="32"/>
  <c r="G39" i="32"/>
  <c r="H39" i="32"/>
  <c r="I39" i="32"/>
  <c r="L39" i="32"/>
  <c r="M39" i="32"/>
  <c r="N39" i="32"/>
  <c r="O39" i="32"/>
  <c r="P39" i="32"/>
  <c r="Q39" i="32"/>
  <c r="R39" i="32"/>
  <c r="S39" i="32"/>
  <c r="T39" i="32"/>
  <c r="U39" i="32"/>
  <c r="V39" i="32"/>
  <c r="W39" i="32"/>
  <c r="X39" i="32"/>
  <c r="Y39" i="32"/>
  <c r="Z39" i="32"/>
  <c r="AA39" i="32"/>
  <c r="AB39" i="32"/>
  <c r="AC39" i="32"/>
  <c r="AD39" i="32"/>
  <c r="AE39" i="32"/>
  <c r="AF39" i="32"/>
  <c r="AG39" i="32"/>
  <c r="AH39" i="32"/>
  <c r="AI39" i="32"/>
  <c r="AJ39" i="32"/>
  <c r="AK39" i="32"/>
  <c r="AL39" i="32"/>
  <c r="AM39" i="32"/>
  <c r="AN39" i="32"/>
  <c r="AO39" i="32"/>
  <c r="AP39" i="32"/>
  <c r="AR39" i="32"/>
  <c r="AS39" i="32"/>
  <c r="AT39" i="32"/>
  <c r="G40" i="32"/>
  <c r="H40" i="32"/>
  <c r="I40" i="32"/>
  <c r="L40" i="32"/>
  <c r="M40" i="32"/>
  <c r="N40" i="32"/>
  <c r="O40" i="32"/>
  <c r="P40" i="32"/>
  <c r="Q40" i="32"/>
  <c r="R40" i="32"/>
  <c r="S40" i="32"/>
  <c r="T40" i="32"/>
  <c r="U40" i="32"/>
  <c r="V40" i="32"/>
  <c r="X40" i="32"/>
  <c r="Y40" i="32"/>
  <c r="Z40" i="32"/>
  <c r="AA40" i="32"/>
  <c r="AB40" i="32"/>
  <c r="AC40" i="32"/>
  <c r="AD40" i="32"/>
  <c r="AE40" i="32"/>
  <c r="AF40" i="32"/>
  <c r="AG40" i="32"/>
  <c r="AH40" i="32"/>
  <c r="AI40" i="32"/>
  <c r="AJ40" i="32"/>
  <c r="AK40" i="32"/>
  <c r="AL40" i="32"/>
  <c r="AM40" i="32"/>
  <c r="AN40" i="32"/>
  <c r="AO40" i="32"/>
  <c r="AP40" i="32"/>
  <c r="AR40" i="32"/>
  <c r="AS40" i="32"/>
  <c r="AT40" i="32"/>
  <c r="G41" i="32"/>
  <c r="H41" i="32"/>
  <c r="I41" i="32"/>
  <c r="L41" i="32"/>
  <c r="M41" i="32"/>
  <c r="N41" i="32"/>
  <c r="O41" i="32"/>
  <c r="P41" i="32"/>
  <c r="Q41" i="32"/>
  <c r="R41" i="32"/>
  <c r="S41" i="32"/>
  <c r="T41" i="32"/>
  <c r="U41" i="32"/>
  <c r="V41" i="32"/>
  <c r="X41" i="32"/>
  <c r="Y41" i="32"/>
  <c r="Z41" i="32"/>
  <c r="AA41" i="32"/>
  <c r="AB41" i="32"/>
  <c r="AC41" i="32"/>
  <c r="AD41" i="32"/>
  <c r="AE41" i="32"/>
  <c r="AF41" i="32"/>
  <c r="AG41" i="32"/>
  <c r="AH41" i="32"/>
  <c r="AI41" i="32"/>
  <c r="AJ41" i="32"/>
  <c r="AK41" i="32"/>
  <c r="AL41" i="32"/>
  <c r="AM41" i="32"/>
  <c r="AN41" i="32"/>
  <c r="AO41" i="32"/>
  <c r="AP41" i="32"/>
  <c r="AR41" i="32"/>
  <c r="AS41" i="32"/>
  <c r="AT41" i="32"/>
  <c r="G42" i="32"/>
  <c r="H42" i="32"/>
  <c r="I42" i="32"/>
  <c r="L42" i="32"/>
  <c r="M42" i="32"/>
  <c r="N42" i="32"/>
  <c r="O42" i="32"/>
  <c r="P42" i="32"/>
  <c r="Q42" i="32"/>
  <c r="R42" i="32"/>
  <c r="S42" i="32"/>
  <c r="T42" i="32"/>
  <c r="U42" i="32"/>
  <c r="V42" i="32"/>
  <c r="X42" i="32"/>
  <c r="Y42" i="32"/>
  <c r="Z42" i="32"/>
  <c r="AA42" i="32"/>
  <c r="AB42" i="32"/>
  <c r="AC42" i="32"/>
  <c r="AD42" i="32"/>
  <c r="AE42" i="32"/>
  <c r="AF42" i="32"/>
  <c r="AG42" i="32"/>
  <c r="AH42" i="32"/>
  <c r="AI42" i="32"/>
  <c r="AJ42" i="32"/>
  <c r="AK42" i="32"/>
  <c r="AL42" i="32"/>
  <c r="AM42" i="32"/>
  <c r="AN42" i="32"/>
  <c r="AO42" i="32"/>
  <c r="AP42" i="32"/>
  <c r="AR42" i="32"/>
  <c r="AS42" i="32"/>
  <c r="AT42" i="32"/>
  <c r="G43" i="32"/>
  <c r="H43" i="32"/>
  <c r="I43" i="32"/>
  <c r="K43" i="32"/>
  <c r="L43" i="32"/>
  <c r="M43" i="32"/>
  <c r="N43" i="32"/>
  <c r="O43" i="32"/>
  <c r="P43" i="32"/>
  <c r="Q43" i="32"/>
  <c r="R43" i="32"/>
  <c r="S43" i="32"/>
  <c r="T43" i="32"/>
  <c r="U43" i="32"/>
  <c r="V43" i="32"/>
  <c r="X43" i="32"/>
  <c r="Y43" i="32"/>
  <c r="Z43" i="32"/>
  <c r="AA43" i="32"/>
  <c r="AB43" i="32"/>
  <c r="AC43" i="32"/>
  <c r="AD43" i="32"/>
  <c r="AE43" i="32"/>
  <c r="AF43" i="32"/>
  <c r="AG43" i="32"/>
  <c r="AH43" i="32"/>
  <c r="AI43" i="32"/>
  <c r="AJ43" i="32"/>
  <c r="AK43" i="32"/>
  <c r="AL43" i="32"/>
  <c r="AM43" i="32"/>
  <c r="AN43" i="32"/>
  <c r="AO43" i="32"/>
  <c r="AP43" i="32"/>
  <c r="AR43" i="32"/>
  <c r="AS43" i="32"/>
  <c r="AT43" i="32"/>
  <c r="G44" i="32"/>
  <c r="H44" i="32"/>
  <c r="I44" i="32"/>
  <c r="L44" i="32"/>
  <c r="M44" i="32"/>
  <c r="N44" i="32"/>
  <c r="O44" i="32"/>
  <c r="P44" i="32"/>
  <c r="Q44" i="32"/>
  <c r="R44" i="32"/>
  <c r="S44" i="32"/>
  <c r="T44" i="32"/>
  <c r="U44" i="32"/>
  <c r="V44" i="32"/>
  <c r="X44" i="32"/>
  <c r="Y44" i="32"/>
  <c r="Z44" i="32"/>
  <c r="AA44" i="32"/>
  <c r="AB44" i="32"/>
  <c r="AC44" i="32"/>
  <c r="AD44" i="32"/>
  <c r="AE44" i="32"/>
  <c r="AF44" i="32"/>
  <c r="AG44" i="32"/>
  <c r="AH44" i="32"/>
  <c r="AI44" i="32"/>
  <c r="AJ44" i="32"/>
  <c r="AK44" i="32"/>
  <c r="AL44" i="32"/>
  <c r="AM44" i="32"/>
  <c r="AN44" i="32"/>
  <c r="AO44" i="32"/>
  <c r="AP44" i="32"/>
  <c r="AR44" i="32"/>
  <c r="AS44" i="32"/>
  <c r="AT44" i="32"/>
  <c r="G45" i="32"/>
  <c r="H45" i="32"/>
  <c r="I45" i="32"/>
  <c r="L45" i="32"/>
  <c r="M45" i="32"/>
  <c r="N45" i="32"/>
  <c r="O45" i="32"/>
  <c r="P45" i="32"/>
  <c r="Q45" i="32"/>
  <c r="R45" i="32"/>
  <c r="S45" i="32"/>
  <c r="T45" i="32"/>
  <c r="U45" i="32"/>
  <c r="V45" i="32"/>
  <c r="X45" i="32"/>
  <c r="Y45" i="32"/>
  <c r="Z45" i="32"/>
  <c r="AA45" i="32"/>
  <c r="AB45" i="32"/>
  <c r="AC45" i="32"/>
  <c r="AD45" i="32"/>
  <c r="AE45" i="32"/>
  <c r="AF45" i="32"/>
  <c r="AG45" i="32"/>
  <c r="AH45" i="32"/>
  <c r="AI45" i="32"/>
  <c r="AJ45" i="32"/>
  <c r="AK45" i="32"/>
  <c r="AL45" i="32"/>
  <c r="AM45" i="32"/>
  <c r="AN45" i="32"/>
  <c r="AO45" i="32"/>
  <c r="AP45" i="32"/>
  <c r="AR45" i="32"/>
  <c r="AS45" i="32"/>
  <c r="AT45" i="32"/>
  <c r="G46" i="32"/>
  <c r="H46" i="32"/>
  <c r="I46" i="32"/>
  <c r="L46" i="32"/>
  <c r="M46" i="32"/>
  <c r="N46" i="32"/>
  <c r="O46" i="32"/>
  <c r="P46" i="32"/>
  <c r="Q46" i="32"/>
  <c r="R46" i="32"/>
  <c r="S46" i="32"/>
  <c r="T46" i="32"/>
  <c r="U46" i="32"/>
  <c r="V46" i="32"/>
  <c r="X46" i="32"/>
  <c r="Y46" i="32"/>
  <c r="Z46" i="32"/>
  <c r="AA46" i="32"/>
  <c r="AB46" i="32"/>
  <c r="AC46" i="32"/>
  <c r="AD46" i="32"/>
  <c r="AE46" i="32"/>
  <c r="AF46" i="32"/>
  <c r="AG46" i="32"/>
  <c r="AH46" i="32"/>
  <c r="AI46" i="32"/>
  <c r="AJ46" i="32"/>
  <c r="AK46" i="32"/>
  <c r="AL46" i="32"/>
  <c r="AM46" i="32"/>
  <c r="AN46" i="32"/>
  <c r="AO46" i="32"/>
  <c r="AP46" i="32"/>
  <c r="AR46" i="32"/>
  <c r="AS46" i="32"/>
  <c r="AT46" i="32"/>
  <c r="G47" i="32"/>
  <c r="H47" i="32"/>
  <c r="I47" i="32"/>
  <c r="L47" i="32"/>
  <c r="M47" i="32"/>
  <c r="N47" i="32"/>
  <c r="O47" i="32"/>
  <c r="P47" i="32"/>
  <c r="Q47" i="32"/>
  <c r="R47" i="32"/>
  <c r="S47" i="32"/>
  <c r="T47" i="32"/>
  <c r="U47" i="32"/>
  <c r="V47" i="32"/>
  <c r="X47" i="32"/>
  <c r="Y47" i="32"/>
  <c r="Z47" i="32"/>
  <c r="AA47" i="32"/>
  <c r="AB47" i="32"/>
  <c r="AC47" i="32"/>
  <c r="AD47" i="32"/>
  <c r="AE47" i="32"/>
  <c r="AF47" i="32"/>
  <c r="AG47" i="32"/>
  <c r="AH47" i="32"/>
  <c r="AI47" i="32"/>
  <c r="AJ47" i="32"/>
  <c r="AK47" i="32"/>
  <c r="AL47" i="32"/>
  <c r="AM47" i="32"/>
  <c r="AN47" i="32"/>
  <c r="AO47" i="32"/>
  <c r="AP47" i="32"/>
  <c r="AR47" i="32"/>
  <c r="AS47" i="32"/>
  <c r="AT47" i="32"/>
  <c r="G48" i="32"/>
  <c r="H48" i="32"/>
  <c r="I48" i="32"/>
  <c r="L48" i="32"/>
  <c r="M48" i="32"/>
  <c r="N48" i="32"/>
  <c r="O48" i="32"/>
  <c r="P48" i="32"/>
  <c r="Q48" i="32"/>
  <c r="R48" i="32"/>
  <c r="S48" i="32"/>
  <c r="T48" i="32"/>
  <c r="U48" i="32"/>
  <c r="V48" i="32"/>
  <c r="X48" i="32"/>
  <c r="Y48" i="32"/>
  <c r="Z48" i="32"/>
  <c r="AA48" i="32"/>
  <c r="AB48" i="32"/>
  <c r="AC48" i="32"/>
  <c r="AD48" i="32"/>
  <c r="AE48" i="32"/>
  <c r="AF48" i="32"/>
  <c r="AG48" i="32"/>
  <c r="AH48" i="32"/>
  <c r="AI48" i="32"/>
  <c r="AJ48" i="32"/>
  <c r="AK48" i="32"/>
  <c r="AL48" i="32"/>
  <c r="AM48" i="32"/>
  <c r="AN48" i="32"/>
  <c r="AO48" i="32"/>
  <c r="AP48" i="32"/>
  <c r="AR48" i="32"/>
  <c r="AS48" i="32"/>
  <c r="AT48" i="32"/>
  <c r="G49" i="32"/>
  <c r="H49" i="32"/>
  <c r="I49" i="32"/>
  <c r="K49" i="32"/>
  <c r="L49" i="32"/>
  <c r="M49" i="32"/>
  <c r="N49" i="32"/>
  <c r="O49" i="32"/>
  <c r="P49" i="32"/>
  <c r="Q49" i="32"/>
  <c r="R49" i="32"/>
  <c r="S49" i="32"/>
  <c r="T49" i="32"/>
  <c r="U49" i="32"/>
  <c r="V49" i="32"/>
  <c r="X49" i="32"/>
  <c r="Y49" i="32"/>
  <c r="Z49" i="32"/>
  <c r="AA49" i="32"/>
  <c r="AB49" i="32"/>
  <c r="AC49" i="32"/>
  <c r="AD49" i="32"/>
  <c r="AE49" i="32"/>
  <c r="AF49" i="32"/>
  <c r="AG49" i="32"/>
  <c r="AH49" i="32"/>
  <c r="AI49" i="32"/>
  <c r="AJ49" i="32"/>
  <c r="AK49" i="32"/>
  <c r="AL49" i="32"/>
  <c r="AM49" i="32"/>
  <c r="AN49" i="32"/>
  <c r="AO49" i="32"/>
  <c r="AP49" i="32"/>
  <c r="AR49" i="32"/>
  <c r="AS49" i="32"/>
  <c r="AT49" i="32"/>
  <c r="G50" i="32"/>
  <c r="H50" i="32"/>
  <c r="I50" i="32"/>
  <c r="L50" i="32"/>
  <c r="M50" i="32"/>
  <c r="N50" i="32"/>
  <c r="O50" i="32"/>
  <c r="P50" i="32"/>
  <c r="Q50" i="32"/>
  <c r="R50" i="32"/>
  <c r="S50" i="32"/>
  <c r="T50" i="32"/>
  <c r="U50" i="32"/>
  <c r="V50" i="32"/>
  <c r="X50" i="32"/>
  <c r="Y50" i="32"/>
  <c r="Z50" i="32"/>
  <c r="AA50" i="32"/>
  <c r="AB50" i="32"/>
  <c r="AC50" i="32"/>
  <c r="AD50" i="32"/>
  <c r="AE50" i="32"/>
  <c r="AF50" i="32"/>
  <c r="AG50" i="32"/>
  <c r="AH50" i="32"/>
  <c r="AI50" i="32"/>
  <c r="AJ50" i="32"/>
  <c r="AK50" i="32"/>
  <c r="AL50" i="32"/>
  <c r="AM50" i="32"/>
  <c r="AN50" i="32"/>
  <c r="AO50" i="32"/>
  <c r="AP50" i="32"/>
  <c r="AR50" i="32"/>
  <c r="AS50" i="32"/>
  <c r="AT50" i="32"/>
  <c r="G51" i="32"/>
  <c r="H51" i="32"/>
  <c r="I51" i="32"/>
  <c r="L51" i="32"/>
  <c r="M51" i="32"/>
  <c r="N51" i="32"/>
  <c r="O51" i="32"/>
  <c r="P51" i="32"/>
  <c r="Q51" i="32"/>
  <c r="R51" i="32"/>
  <c r="S51" i="32"/>
  <c r="T51" i="32"/>
  <c r="U51" i="32"/>
  <c r="V51" i="32"/>
  <c r="X51" i="32"/>
  <c r="Y51" i="32"/>
  <c r="Z51" i="32"/>
  <c r="AA51" i="32"/>
  <c r="AB51" i="32"/>
  <c r="AC51" i="32"/>
  <c r="AD51" i="32"/>
  <c r="AE51" i="32"/>
  <c r="AF51" i="32"/>
  <c r="AG51" i="32"/>
  <c r="AH51" i="32"/>
  <c r="AI51" i="32"/>
  <c r="AJ51" i="32"/>
  <c r="AK51" i="32"/>
  <c r="AL51" i="32"/>
  <c r="AM51" i="32"/>
  <c r="AN51" i="32"/>
  <c r="AO51" i="32"/>
  <c r="AP51" i="32"/>
  <c r="AR51" i="32"/>
  <c r="AS51" i="32"/>
  <c r="AT51" i="32"/>
  <c r="G52" i="32"/>
  <c r="H52" i="32"/>
  <c r="I52" i="32"/>
  <c r="L52" i="32"/>
  <c r="M52" i="32"/>
  <c r="N52" i="32"/>
  <c r="O52" i="32"/>
  <c r="P52" i="32"/>
  <c r="Q52" i="32"/>
  <c r="R52" i="32"/>
  <c r="S52" i="32"/>
  <c r="T52" i="32"/>
  <c r="U52" i="32"/>
  <c r="V52" i="32"/>
  <c r="X52" i="32"/>
  <c r="Y52" i="32"/>
  <c r="Z52" i="32"/>
  <c r="AA52" i="32"/>
  <c r="AB52" i="32"/>
  <c r="AC52" i="32"/>
  <c r="AD52" i="32"/>
  <c r="AE52" i="32"/>
  <c r="AF52" i="32"/>
  <c r="AG52" i="32"/>
  <c r="AH52" i="32"/>
  <c r="AI52" i="32"/>
  <c r="AJ52" i="32"/>
  <c r="AK52" i="32"/>
  <c r="AL52" i="32"/>
  <c r="AM52" i="32"/>
  <c r="AN52" i="32"/>
  <c r="AO52" i="32"/>
  <c r="AP52" i="32"/>
  <c r="AR52" i="32"/>
  <c r="AS52" i="32"/>
  <c r="AT52" i="32"/>
  <c r="G53" i="32"/>
  <c r="H53" i="32"/>
  <c r="I53" i="32"/>
  <c r="L53" i="32"/>
  <c r="M53" i="32"/>
  <c r="N53" i="32"/>
  <c r="O53" i="32"/>
  <c r="P53" i="32"/>
  <c r="Q53" i="32"/>
  <c r="R53" i="32"/>
  <c r="S53" i="32"/>
  <c r="T53" i="32"/>
  <c r="U53" i="32"/>
  <c r="V53" i="32"/>
  <c r="X53" i="32"/>
  <c r="Y53" i="32"/>
  <c r="Z53" i="32"/>
  <c r="AA53" i="32"/>
  <c r="AB53" i="32"/>
  <c r="AC53" i="32"/>
  <c r="AD53" i="32"/>
  <c r="AE53" i="32"/>
  <c r="AF53" i="32"/>
  <c r="AG53" i="32"/>
  <c r="AH53" i="32"/>
  <c r="AI53" i="32"/>
  <c r="AJ53" i="32"/>
  <c r="AK53" i="32"/>
  <c r="AL53" i="32"/>
  <c r="AM53" i="32"/>
  <c r="AN53" i="32"/>
  <c r="AO53" i="32"/>
  <c r="AP53" i="32"/>
  <c r="AR53" i="32"/>
  <c r="AS53" i="32"/>
  <c r="AT53" i="32"/>
  <c r="G54" i="32"/>
  <c r="H54" i="32"/>
  <c r="I54" i="32"/>
  <c r="L54" i="32"/>
  <c r="M54" i="32"/>
  <c r="N54" i="32"/>
  <c r="O54" i="32"/>
  <c r="P54" i="32"/>
  <c r="Q54" i="32"/>
  <c r="R54" i="32"/>
  <c r="S54" i="32"/>
  <c r="T54" i="32"/>
  <c r="U54" i="32"/>
  <c r="V54" i="32"/>
  <c r="X54" i="32"/>
  <c r="Y54" i="32"/>
  <c r="Z54" i="32"/>
  <c r="AA54" i="32"/>
  <c r="AB54" i="32"/>
  <c r="AC54" i="32"/>
  <c r="AD54" i="32"/>
  <c r="AE54" i="32"/>
  <c r="AF54" i="32"/>
  <c r="AG54" i="32"/>
  <c r="AH54" i="32"/>
  <c r="AI54" i="32"/>
  <c r="AJ54" i="32"/>
  <c r="AK54" i="32"/>
  <c r="AL54" i="32"/>
  <c r="AM54" i="32"/>
  <c r="AN54" i="32"/>
  <c r="AO54" i="32"/>
  <c r="AP54" i="32"/>
  <c r="AR54" i="32"/>
  <c r="AS54" i="32"/>
  <c r="AT54" i="32"/>
  <c r="G55" i="32"/>
  <c r="H55" i="32"/>
  <c r="I55" i="32"/>
  <c r="L55" i="32"/>
  <c r="M55" i="32"/>
  <c r="N55" i="32"/>
  <c r="O55" i="32"/>
  <c r="P55" i="32"/>
  <c r="Q55" i="32"/>
  <c r="R55" i="32"/>
  <c r="S55" i="32"/>
  <c r="T55" i="32"/>
  <c r="U55" i="32"/>
  <c r="V55" i="32"/>
  <c r="X55" i="32"/>
  <c r="Y55" i="32"/>
  <c r="Z55" i="32"/>
  <c r="AA55" i="32"/>
  <c r="AB55" i="32"/>
  <c r="AC55" i="32"/>
  <c r="AD55" i="32"/>
  <c r="AE55" i="32"/>
  <c r="AF55" i="32"/>
  <c r="AG55" i="32"/>
  <c r="AH55" i="32"/>
  <c r="AI55" i="32"/>
  <c r="AJ55" i="32"/>
  <c r="AK55" i="32"/>
  <c r="AL55" i="32"/>
  <c r="AM55" i="32"/>
  <c r="AN55" i="32"/>
  <c r="AO55" i="32"/>
  <c r="AP55" i="32"/>
  <c r="AR55" i="32"/>
  <c r="AS55" i="32"/>
  <c r="AT55" i="32"/>
  <c r="G56" i="32"/>
  <c r="H56" i="32"/>
  <c r="I56" i="32"/>
  <c r="L56" i="32"/>
  <c r="M56" i="32"/>
  <c r="N56" i="32"/>
  <c r="O56" i="32"/>
  <c r="P56" i="32"/>
  <c r="Q56" i="32"/>
  <c r="R56" i="32"/>
  <c r="S56" i="32"/>
  <c r="T56" i="32"/>
  <c r="U56" i="32"/>
  <c r="V56" i="32"/>
  <c r="X56" i="32"/>
  <c r="Y56" i="32"/>
  <c r="Z56" i="32"/>
  <c r="AA56" i="32"/>
  <c r="AB56" i="32"/>
  <c r="AC56" i="32"/>
  <c r="AD56" i="32"/>
  <c r="AE56" i="32"/>
  <c r="AF56" i="32"/>
  <c r="AG56" i="32"/>
  <c r="AH56" i="32"/>
  <c r="AI56" i="32"/>
  <c r="AJ56" i="32"/>
  <c r="AK56" i="32"/>
  <c r="AL56" i="32"/>
  <c r="AM56" i="32"/>
  <c r="AN56" i="32"/>
  <c r="AO56" i="32"/>
  <c r="AP56" i="32"/>
  <c r="AR56" i="32"/>
  <c r="AS56" i="32"/>
  <c r="AT56" i="32"/>
  <c r="G57" i="32"/>
  <c r="H57" i="32"/>
  <c r="I57" i="32"/>
  <c r="L57" i="32"/>
  <c r="M57" i="32"/>
  <c r="N57" i="32"/>
  <c r="O57" i="32"/>
  <c r="P57" i="32"/>
  <c r="Q57" i="32"/>
  <c r="R57" i="32"/>
  <c r="S57" i="32"/>
  <c r="T57" i="32"/>
  <c r="U57" i="32"/>
  <c r="V57" i="32"/>
  <c r="X57" i="32"/>
  <c r="Y57" i="32"/>
  <c r="Z57" i="32"/>
  <c r="AA57" i="32"/>
  <c r="AB57" i="32"/>
  <c r="AC57" i="32"/>
  <c r="AD57" i="32"/>
  <c r="AE57" i="32"/>
  <c r="AF57" i="32"/>
  <c r="AG57" i="32"/>
  <c r="AH57" i="32"/>
  <c r="AI57" i="32"/>
  <c r="AJ57" i="32"/>
  <c r="AK57" i="32"/>
  <c r="AL57" i="32"/>
  <c r="AM57" i="32"/>
  <c r="AN57" i="32"/>
  <c r="AO57" i="32"/>
  <c r="AP57" i="32"/>
  <c r="AR57" i="32"/>
  <c r="AS57" i="32"/>
  <c r="AT57" i="32"/>
  <c r="G58" i="32"/>
  <c r="H58" i="32"/>
  <c r="I58" i="32"/>
  <c r="L58" i="32"/>
  <c r="M58" i="32"/>
  <c r="N58" i="32"/>
  <c r="O58" i="32"/>
  <c r="P58" i="32"/>
  <c r="Q58" i="32"/>
  <c r="R58" i="32"/>
  <c r="S58" i="32"/>
  <c r="T58" i="32"/>
  <c r="U58" i="32"/>
  <c r="V58" i="32"/>
  <c r="X58" i="32"/>
  <c r="Y58" i="32"/>
  <c r="Z58" i="32"/>
  <c r="AA58" i="32"/>
  <c r="AB58" i="32"/>
  <c r="AC58" i="32"/>
  <c r="AD58" i="32"/>
  <c r="AE58" i="32"/>
  <c r="AF58" i="32"/>
  <c r="AG58" i="32"/>
  <c r="AH58" i="32"/>
  <c r="AI58" i="32"/>
  <c r="AJ58" i="32"/>
  <c r="AK58" i="32"/>
  <c r="AL58" i="32"/>
  <c r="AM58" i="32"/>
  <c r="AN58" i="32"/>
  <c r="AO58" i="32"/>
  <c r="AP58" i="32"/>
  <c r="AR58" i="32"/>
  <c r="AS58" i="32"/>
  <c r="AT58" i="32"/>
  <c r="G59" i="32"/>
  <c r="H59" i="32"/>
  <c r="I59" i="32"/>
  <c r="L59" i="32"/>
  <c r="M59" i="32"/>
  <c r="N59" i="32"/>
  <c r="O59" i="32"/>
  <c r="P59" i="32"/>
  <c r="Q59" i="32"/>
  <c r="R59" i="32"/>
  <c r="S59" i="32"/>
  <c r="T59" i="32"/>
  <c r="U59" i="32"/>
  <c r="V59" i="32"/>
  <c r="X59" i="32"/>
  <c r="Y59" i="32"/>
  <c r="Z59" i="32"/>
  <c r="AA59" i="32"/>
  <c r="AB59" i="32"/>
  <c r="AC59" i="32"/>
  <c r="AD59" i="32"/>
  <c r="AE59" i="32"/>
  <c r="AF59" i="32"/>
  <c r="AG59" i="32"/>
  <c r="AH59" i="32"/>
  <c r="AI59" i="32"/>
  <c r="AJ59" i="32"/>
  <c r="AK59" i="32"/>
  <c r="AL59" i="32"/>
  <c r="AM59" i="32"/>
  <c r="AN59" i="32"/>
  <c r="AO59" i="32"/>
  <c r="AP59" i="32"/>
  <c r="AR59" i="32"/>
  <c r="AS59" i="32"/>
  <c r="AT59" i="32"/>
  <c r="G60" i="32"/>
  <c r="H60" i="32"/>
  <c r="I60" i="32"/>
  <c r="J60" i="32"/>
  <c r="K60" i="32"/>
  <c r="L60" i="32"/>
  <c r="M60" i="32"/>
  <c r="N60" i="32"/>
  <c r="O60" i="32"/>
  <c r="P60" i="32"/>
  <c r="Q60" i="32"/>
  <c r="R60" i="32"/>
  <c r="S60" i="32"/>
  <c r="T60" i="32"/>
  <c r="U60" i="32"/>
  <c r="V60" i="32"/>
  <c r="W60" i="32"/>
  <c r="X60" i="32"/>
  <c r="Y60" i="32"/>
  <c r="Z60" i="32"/>
  <c r="AA60" i="32"/>
  <c r="AB60" i="32"/>
  <c r="AC60" i="32"/>
  <c r="AD60" i="32"/>
  <c r="AE60" i="32"/>
  <c r="AF60" i="32"/>
  <c r="AG60" i="32"/>
  <c r="AH60" i="32"/>
  <c r="AI60" i="32"/>
  <c r="AJ60" i="32"/>
  <c r="AK60" i="32"/>
  <c r="AL60" i="32"/>
  <c r="AM60" i="32"/>
  <c r="AN60" i="32"/>
  <c r="AO60" i="32"/>
  <c r="AP60" i="32"/>
  <c r="AQ60" i="32"/>
  <c r="AR60" i="32"/>
  <c r="AS60" i="32"/>
  <c r="AT60" i="32"/>
  <c r="G61" i="32"/>
  <c r="H61" i="32"/>
  <c r="I61" i="32"/>
  <c r="L61" i="32"/>
  <c r="M61" i="32"/>
  <c r="N61" i="32"/>
  <c r="O61" i="32"/>
  <c r="P61" i="32"/>
  <c r="Q61" i="32"/>
  <c r="R61" i="32"/>
  <c r="S61" i="32"/>
  <c r="T61" i="32"/>
  <c r="U61" i="32"/>
  <c r="V61" i="32"/>
  <c r="X61" i="32"/>
  <c r="Y61" i="32"/>
  <c r="Z61" i="32"/>
  <c r="AA61" i="32"/>
  <c r="AB61" i="32"/>
  <c r="AC61" i="32"/>
  <c r="AD61" i="32"/>
  <c r="AE61" i="32"/>
  <c r="AF61" i="32"/>
  <c r="AG61" i="32"/>
  <c r="AH61" i="32"/>
  <c r="AI61" i="32"/>
  <c r="AJ61" i="32"/>
  <c r="AK61" i="32"/>
  <c r="AL61" i="32"/>
  <c r="AM61" i="32"/>
  <c r="AN61" i="32"/>
  <c r="AO61" i="32"/>
  <c r="AP61" i="32"/>
  <c r="AR61" i="32"/>
  <c r="AS61" i="32"/>
  <c r="AT61" i="32"/>
  <c r="G62" i="32"/>
  <c r="H62" i="32"/>
  <c r="I62" i="32"/>
  <c r="L62" i="32"/>
  <c r="M62" i="32"/>
  <c r="N62" i="32"/>
  <c r="O62" i="32"/>
  <c r="P62" i="32"/>
  <c r="Q62" i="32"/>
  <c r="R62" i="32"/>
  <c r="S62" i="32"/>
  <c r="T62" i="32"/>
  <c r="U62" i="32"/>
  <c r="V62" i="32"/>
  <c r="X62" i="32"/>
  <c r="Y62" i="32"/>
  <c r="Z62" i="32"/>
  <c r="AA62" i="32"/>
  <c r="AB62" i="32"/>
  <c r="AC62" i="32"/>
  <c r="AD62" i="32"/>
  <c r="AE62" i="32"/>
  <c r="AF62" i="32"/>
  <c r="AG62" i="32"/>
  <c r="AH62" i="32"/>
  <c r="AI62" i="32"/>
  <c r="AJ62" i="32"/>
  <c r="AK62" i="32"/>
  <c r="AL62" i="32"/>
  <c r="AM62" i="32"/>
  <c r="AN62" i="32"/>
  <c r="AO62" i="32"/>
  <c r="AP62" i="32"/>
  <c r="AR62" i="32"/>
  <c r="AS62" i="32"/>
  <c r="AT62" i="32"/>
  <c r="G63" i="32"/>
  <c r="H63" i="32"/>
  <c r="I63" i="32"/>
  <c r="J63" i="32"/>
  <c r="K63" i="32"/>
  <c r="L63" i="32"/>
  <c r="M63" i="32"/>
  <c r="N63" i="32"/>
  <c r="O63" i="32"/>
  <c r="P63" i="32"/>
  <c r="Q63" i="32"/>
  <c r="R63" i="32"/>
  <c r="S63" i="32"/>
  <c r="T63" i="32"/>
  <c r="U63" i="32"/>
  <c r="V63" i="32"/>
  <c r="W63" i="32"/>
  <c r="X63" i="32"/>
  <c r="Y63" i="32"/>
  <c r="Z63" i="32"/>
  <c r="AA63" i="32"/>
  <c r="AB63" i="32"/>
  <c r="AC63" i="32"/>
  <c r="AD63" i="32"/>
  <c r="AE63" i="32"/>
  <c r="AF63" i="32"/>
  <c r="AG63" i="32"/>
  <c r="AH63" i="32"/>
  <c r="AI63" i="32"/>
  <c r="AJ63" i="32"/>
  <c r="AK63" i="32"/>
  <c r="AL63" i="32"/>
  <c r="AM63" i="32"/>
  <c r="AN63" i="32"/>
  <c r="AO63" i="32"/>
  <c r="AP63" i="32"/>
  <c r="AQ63" i="32"/>
  <c r="AR63" i="32"/>
  <c r="AS63" i="32"/>
  <c r="AT63" i="32"/>
  <c r="G64" i="32"/>
  <c r="H64" i="32"/>
  <c r="I64" i="32"/>
  <c r="L64" i="32"/>
  <c r="M64" i="32"/>
  <c r="N64" i="32"/>
  <c r="O64" i="32"/>
  <c r="P64" i="32"/>
  <c r="Q64" i="32"/>
  <c r="R64" i="32"/>
  <c r="S64" i="32"/>
  <c r="T64" i="32"/>
  <c r="U64" i="32"/>
  <c r="V64" i="32"/>
  <c r="X64" i="32"/>
  <c r="Y64" i="32"/>
  <c r="Z64" i="32"/>
  <c r="AA64" i="32"/>
  <c r="AB64" i="32"/>
  <c r="AC64" i="32"/>
  <c r="AD64" i="32"/>
  <c r="AE64" i="32"/>
  <c r="AF64" i="32"/>
  <c r="AG64" i="32"/>
  <c r="AH64" i="32"/>
  <c r="AI64" i="32"/>
  <c r="AJ64" i="32"/>
  <c r="AK64" i="32"/>
  <c r="AL64" i="32"/>
  <c r="AM64" i="32"/>
  <c r="AN64" i="32"/>
  <c r="AO64" i="32"/>
  <c r="AP64" i="32"/>
  <c r="AR64" i="32"/>
  <c r="AS64" i="32"/>
  <c r="AT64" i="32"/>
  <c r="G65" i="32"/>
  <c r="H65" i="32"/>
  <c r="I65" i="32"/>
  <c r="J65" i="32"/>
  <c r="K65" i="32"/>
  <c r="L65" i="32"/>
  <c r="M65" i="32"/>
  <c r="N65" i="32"/>
  <c r="O65" i="32"/>
  <c r="P65" i="32"/>
  <c r="Q65" i="32"/>
  <c r="R65" i="32"/>
  <c r="S65" i="32"/>
  <c r="T65" i="32"/>
  <c r="U65" i="32"/>
  <c r="V65" i="32"/>
  <c r="W65" i="32"/>
  <c r="X65" i="32"/>
  <c r="Y65" i="32"/>
  <c r="Z65" i="32"/>
  <c r="AA65" i="32"/>
  <c r="AB65" i="32"/>
  <c r="AC65" i="32"/>
  <c r="AD65" i="32"/>
  <c r="AE65" i="32"/>
  <c r="AF65" i="32"/>
  <c r="AG65" i="32"/>
  <c r="AH65" i="32"/>
  <c r="AI65" i="32"/>
  <c r="AJ65" i="32"/>
  <c r="AK65" i="32"/>
  <c r="AL65" i="32"/>
  <c r="AM65" i="32"/>
  <c r="AN65" i="32"/>
  <c r="AO65" i="32"/>
  <c r="AP65" i="32"/>
  <c r="AQ65" i="32"/>
  <c r="AR65" i="32"/>
  <c r="AS65" i="32"/>
  <c r="AT65" i="32"/>
  <c r="G66" i="32"/>
  <c r="H66" i="32"/>
  <c r="I66" i="32"/>
  <c r="J66" i="32"/>
  <c r="K66" i="32"/>
  <c r="L66" i="32"/>
  <c r="M66" i="32"/>
  <c r="N66" i="32"/>
  <c r="O66" i="32"/>
  <c r="P66" i="32"/>
  <c r="Q66" i="32"/>
  <c r="R66" i="32"/>
  <c r="S66" i="32"/>
  <c r="T66" i="32"/>
  <c r="U66" i="32"/>
  <c r="V66" i="32"/>
  <c r="W66" i="32"/>
  <c r="X66" i="32"/>
  <c r="Y66" i="32"/>
  <c r="Z66" i="32"/>
  <c r="AA66" i="32"/>
  <c r="AB66" i="32"/>
  <c r="AC66" i="32"/>
  <c r="AD66" i="32"/>
  <c r="AE66" i="32"/>
  <c r="AF66" i="32"/>
  <c r="AG66" i="32"/>
  <c r="AH66" i="32"/>
  <c r="AI66" i="32"/>
  <c r="AJ66" i="32"/>
  <c r="AK66" i="32"/>
  <c r="AL66" i="32"/>
  <c r="AM66" i="32"/>
  <c r="AN66" i="32"/>
  <c r="AO66" i="32"/>
  <c r="AP66" i="32"/>
  <c r="AQ66" i="32"/>
  <c r="AR66" i="32"/>
  <c r="AS66" i="32"/>
  <c r="AT66" i="32"/>
  <c r="G67" i="32"/>
  <c r="H67" i="32"/>
  <c r="I67" i="32"/>
  <c r="L67" i="32"/>
  <c r="M67" i="32"/>
  <c r="N67" i="32"/>
  <c r="O67" i="32"/>
  <c r="P67" i="32"/>
  <c r="Q67" i="32"/>
  <c r="R67" i="32"/>
  <c r="S67" i="32"/>
  <c r="T67" i="32"/>
  <c r="U67" i="32"/>
  <c r="V67" i="32"/>
  <c r="X67" i="32"/>
  <c r="Y67" i="32"/>
  <c r="Z67" i="32"/>
  <c r="AA67" i="32"/>
  <c r="AB67" i="32"/>
  <c r="AC67" i="32"/>
  <c r="AD67" i="32"/>
  <c r="AE67" i="32"/>
  <c r="AF67" i="32"/>
  <c r="AG67" i="32"/>
  <c r="AH67" i="32"/>
  <c r="AI67" i="32"/>
  <c r="AJ67" i="32"/>
  <c r="AK67" i="32"/>
  <c r="AL67" i="32"/>
  <c r="AM67" i="32"/>
  <c r="AN67" i="32"/>
  <c r="AO67" i="32"/>
  <c r="AP67" i="32"/>
  <c r="AR67" i="32"/>
  <c r="AS67" i="32"/>
  <c r="AT67" i="32"/>
  <c r="G68" i="32"/>
  <c r="H68" i="32"/>
  <c r="I68" i="32"/>
  <c r="L68" i="32"/>
  <c r="M68" i="32"/>
  <c r="N68" i="32"/>
  <c r="O68" i="32"/>
  <c r="P68" i="32"/>
  <c r="Q68" i="32"/>
  <c r="R68" i="32"/>
  <c r="S68" i="32"/>
  <c r="T68" i="32"/>
  <c r="U68" i="32"/>
  <c r="V68" i="32"/>
  <c r="X68" i="32"/>
  <c r="Y68" i="32"/>
  <c r="Z68" i="32"/>
  <c r="AA68" i="32"/>
  <c r="AB68" i="32"/>
  <c r="AC68" i="32"/>
  <c r="AD68" i="32"/>
  <c r="AE68" i="32"/>
  <c r="AF68" i="32"/>
  <c r="AG68" i="32"/>
  <c r="AH68" i="32"/>
  <c r="AI68" i="32"/>
  <c r="AJ68" i="32"/>
  <c r="AK68" i="32"/>
  <c r="AL68" i="32"/>
  <c r="AM68" i="32"/>
  <c r="AN68" i="32"/>
  <c r="AO68" i="32"/>
  <c r="AP68" i="32"/>
  <c r="AR68" i="32"/>
  <c r="AS68" i="32"/>
  <c r="AT68" i="32"/>
  <c r="G69" i="32"/>
  <c r="H69" i="32"/>
  <c r="I69" i="32"/>
  <c r="L69" i="32"/>
  <c r="M69" i="32"/>
  <c r="N69" i="32"/>
  <c r="O69" i="32"/>
  <c r="P69" i="32"/>
  <c r="Q69" i="32"/>
  <c r="R69" i="32"/>
  <c r="S69" i="32"/>
  <c r="T69" i="32"/>
  <c r="U69" i="32"/>
  <c r="V69" i="32"/>
  <c r="X69" i="32"/>
  <c r="Y69" i="32"/>
  <c r="Z69" i="32"/>
  <c r="AA69" i="32"/>
  <c r="AB69" i="32"/>
  <c r="AC69" i="32"/>
  <c r="AD69" i="32"/>
  <c r="AE69" i="32"/>
  <c r="AF69" i="32"/>
  <c r="AG69" i="32"/>
  <c r="AH69" i="32"/>
  <c r="AI69" i="32"/>
  <c r="AJ69" i="32"/>
  <c r="AK69" i="32"/>
  <c r="AL69" i="32"/>
  <c r="AM69" i="32"/>
  <c r="AN69" i="32"/>
  <c r="AO69" i="32"/>
  <c r="AP69" i="32"/>
  <c r="AR69" i="32"/>
  <c r="AS69" i="32"/>
  <c r="AT69" i="32"/>
  <c r="G70" i="32"/>
  <c r="H70" i="32"/>
  <c r="I70" i="32"/>
  <c r="L70" i="32"/>
  <c r="M70" i="32"/>
  <c r="N70" i="32"/>
  <c r="O70" i="32"/>
  <c r="P70" i="32"/>
  <c r="Q70" i="32"/>
  <c r="R70" i="32"/>
  <c r="S70" i="32"/>
  <c r="T70" i="32"/>
  <c r="U70" i="32"/>
  <c r="V70" i="32"/>
  <c r="X70" i="32"/>
  <c r="Y70" i="32"/>
  <c r="Z70" i="32"/>
  <c r="AA70" i="32"/>
  <c r="AB70" i="32"/>
  <c r="AC70" i="32"/>
  <c r="AD70" i="32"/>
  <c r="AE70" i="32"/>
  <c r="AF70" i="32"/>
  <c r="AG70" i="32"/>
  <c r="AH70" i="32"/>
  <c r="AI70" i="32"/>
  <c r="AJ70" i="32"/>
  <c r="AK70" i="32"/>
  <c r="AL70" i="32"/>
  <c r="AM70" i="32"/>
  <c r="AN70" i="32"/>
  <c r="AO70" i="32"/>
  <c r="AP70" i="32"/>
  <c r="AR70" i="32"/>
  <c r="AS70" i="32"/>
  <c r="AT70" i="32"/>
  <c r="G71" i="32"/>
  <c r="H71" i="32"/>
  <c r="I71" i="32"/>
  <c r="L71" i="32"/>
  <c r="M71" i="32"/>
  <c r="N71" i="32"/>
  <c r="O71" i="32"/>
  <c r="P71" i="32"/>
  <c r="Q71" i="32"/>
  <c r="R71" i="32"/>
  <c r="S71" i="32"/>
  <c r="T71" i="32"/>
  <c r="U71" i="32"/>
  <c r="V71" i="32"/>
  <c r="X71" i="32"/>
  <c r="Y71" i="32"/>
  <c r="Z71" i="32"/>
  <c r="AA71" i="32"/>
  <c r="AB71" i="32"/>
  <c r="AC71" i="32"/>
  <c r="AD71" i="32"/>
  <c r="AE71" i="32"/>
  <c r="AF71" i="32"/>
  <c r="AG71" i="32"/>
  <c r="AH71" i="32"/>
  <c r="AI71" i="32"/>
  <c r="AJ71" i="32"/>
  <c r="AK71" i="32"/>
  <c r="AL71" i="32"/>
  <c r="AM71" i="32"/>
  <c r="AN71" i="32"/>
  <c r="AO71" i="32"/>
  <c r="AP71" i="32"/>
  <c r="AR71" i="32"/>
  <c r="AS71" i="32"/>
  <c r="AT71" i="32"/>
  <c r="G72" i="32"/>
  <c r="H72" i="32"/>
  <c r="I72" i="32"/>
  <c r="L72" i="32"/>
  <c r="M72" i="32"/>
  <c r="N72" i="32"/>
  <c r="O72" i="32"/>
  <c r="P72" i="32"/>
  <c r="Q72" i="32"/>
  <c r="R72" i="32"/>
  <c r="S72" i="32"/>
  <c r="T72" i="32"/>
  <c r="U72" i="32"/>
  <c r="V72" i="32"/>
  <c r="X72" i="32"/>
  <c r="Y72" i="32"/>
  <c r="Z72" i="32"/>
  <c r="AA72" i="32"/>
  <c r="AB72" i="32"/>
  <c r="AC72" i="32"/>
  <c r="AD72" i="32"/>
  <c r="AE72" i="32"/>
  <c r="AF72" i="32"/>
  <c r="AG72" i="32"/>
  <c r="AH72" i="32"/>
  <c r="AI72" i="32"/>
  <c r="AJ72" i="32"/>
  <c r="AK72" i="32"/>
  <c r="AL72" i="32"/>
  <c r="AM72" i="32"/>
  <c r="AN72" i="32"/>
  <c r="AO72" i="32"/>
  <c r="AP72" i="32"/>
  <c r="AR72" i="32"/>
  <c r="AS72" i="32"/>
  <c r="AT72" i="32"/>
  <c r="G73" i="32"/>
  <c r="H73" i="32"/>
  <c r="I73" i="32"/>
  <c r="L73" i="32"/>
  <c r="M73" i="32"/>
  <c r="N73" i="32"/>
  <c r="O73" i="32"/>
  <c r="P73" i="32"/>
  <c r="Q73" i="32"/>
  <c r="R73" i="32"/>
  <c r="S73" i="32"/>
  <c r="T73" i="32"/>
  <c r="U73" i="32"/>
  <c r="V73" i="32"/>
  <c r="X73" i="32"/>
  <c r="Y73" i="32"/>
  <c r="Z73" i="32"/>
  <c r="AA73" i="32"/>
  <c r="AB73" i="32"/>
  <c r="AC73" i="32"/>
  <c r="AD73" i="32"/>
  <c r="AE73" i="32"/>
  <c r="AF73" i="32"/>
  <c r="AG73" i="32"/>
  <c r="AH73" i="32"/>
  <c r="AI73" i="32"/>
  <c r="AJ73" i="32"/>
  <c r="AK73" i="32"/>
  <c r="AL73" i="32"/>
  <c r="AM73" i="32"/>
  <c r="AN73" i="32"/>
  <c r="AO73" i="32"/>
  <c r="AP73" i="32"/>
  <c r="AR73" i="32"/>
  <c r="AS73" i="32"/>
  <c r="AT73" i="32"/>
  <c r="G74" i="32"/>
  <c r="H74" i="32"/>
  <c r="I74" i="32"/>
  <c r="L74" i="32"/>
  <c r="M74" i="32"/>
  <c r="N74" i="32"/>
  <c r="O74" i="32"/>
  <c r="P74" i="32"/>
  <c r="Q74" i="32"/>
  <c r="R74" i="32"/>
  <c r="S74" i="32"/>
  <c r="T74" i="32"/>
  <c r="U74" i="32"/>
  <c r="V74" i="32"/>
  <c r="X74" i="32"/>
  <c r="Y74" i="32"/>
  <c r="Z74" i="32"/>
  <c r="AA74" i="32"/>
  <c r="AB74" i="32"/>
  <c r="AC74" i="32"/>
  <c r="AD74" i="32"/>
  <c r="AE74" i="32"/>
  <c r="AF74" i="32"/>
  <c r="AG74" i="32"/>
  <c r="AH74" i="32"/>
  <c r="AI74" i="32"/>
  <c r="AJ74" i="32"/>
  <c r="AK74" i="32"/>
  <c r="AL74" i="32"/>
  <c r="AM74" i="32"/>
  <c r="AN74" i="32"/>
  <c r="AO74" i="32"/>
  <c r="AP74" i="32"/>
  <c r="AR74" i="32"/>
  <c r="AS74" i="32"/>
  <c r="AT74" i="32"/>
  <c r="G75" i="32"/>
  <c r="H75" i="32"/>
  <c r="I75" i="32"/>
  <c r="L75" i="32"/>
  <c r="M75" i="32"/>
  <c r="N75" i="32"/>
  <c r="O75" i="32"/>
  <c r="P75" i="32"/>
  <c r="Q75" i="32"/>
  <c r="R75" i="32"/>
  <c r="S75" i="32"/>
  <c r="T75" i="32"/>
  <c r="U75" i="32"/>
  <c r="V75" i="32"/>
  <c r="X75" i="32"/>
  <c r="Y75" i="32"/>
  <c r="Z75" i="32"/>
  <c r="AA75" i="32"/>
  <c r="AB75" i="32"/>
  <c r="AC75" i="32"/>
  <c r="AD75" i="32"/>
  <c r="AE75" i="32"/>
  <c r="AF75" i="32"/>
  <c r="AG75" i="32"/>
  <c r="AH75" i="32"/>
  <c r="AI75" i="32"/>
  <c r="AJ75" i="32"/>
  <c r="AK75" i="32"/>
  <c r="AL75" i="32"/>
  <c r="AM75" i="32"/>
  <c r="AN75" i="32"/>
  <c r="AO75" i="32"/>
  <c r="AP75" i="32"/>
  <c r="AR75" i="32"/>
  <c r="AS75" i="32"/>
  <c r="AT75" i="32"/>
  <c r="G76" i="32"/>
  <c r="H76" i="32"/>
  <c r="I76" i="32"/>
  <c r="L76" i="32"/>
  <c r="M76" i="32"/>
  <c r="N76" i="32"/>
  <c r="O76" i="32"/>
  <c r="P76" i="32"/>
  <c r="Q76" i="32"/>
  <c r="R76" i="32"/>
  <c r="S76" i="32"/>
  <c r="T76" i="32"/>
  <c r="U76" i="32"/>
  <c r="V76" i="32"/>
  <c r="X76" i="32"/>
  <c r="Y76" i="32"/>
  <c r="Z76" i="32"/>
  <c r="AA76" i="32"/>
  <c r="AB76" i="32"/>
  <c r="AC76" i="32"/>
  <c r="AD76" i="32"/>
  <c r="AE76" i="32"/>
  <c r="AF76" i="32"/>
  <c r="AG76" i="32"/>
  <c r="AH76" i="32"/>
  <c r="AI76" i="32"/>
  <c r="AJ76" i="32"/>
  <c r="AK76" i="32"/>
  <c r="AL76" i="32"/>
  <c r="AM76" i="32"/>
  <c r="AN76" i="32"/>
  <c r="AO76" i="32"/>
  <c r="AP76" i="32"/>
  <c r="AR76" i="32"/>
  <c r="AS76" i="32"/>
  <c r="AT76" i="32"/>
  <c r="G77" i="32"/>
  <c r="H77" i="32"/>
  <c r="I77" i="32"/>
  <c r="L77" i="32"/>
  <c r="M77" i="32"/>
  <c r="N77" i="32"/>
  <c r="O77" i="32"/>
  <c r="P77" i="32"/>
  <c r="Q77" i="32"/>
  <c r="R77" i="32"/>
  <c r="S77" i="32"/>
  <c r="T77" i="32"/>
  <c r="U77" i="32"/>
  <c r="V77" i="32"/>
  <c r="X77" i="32"/>
  <c r="Y77" i="32"/>
  <c r="Z77" i="32"/>
  <c r="AA77" i="32"/>
  <c r="AB77" i="32"/>
  <c r="AC77" i="32"/>
  <c r="AD77" i="32"/>
  <c r="AE77" i="32"/>
  <c r="AF77" i="32"/>
  <c r="AG77" i="32"/>
  <c r="AH77" i="32"/>
  <c r="AI77" i="32"/>
  <c r="AJ77" i="32"/>
  <c r="AK77" i="32"/>
  <c r="AL77" i="32"/>
  <c r="AM77" i="32"/>
  <c r="AN77" i="32"/>
  <c r="AO77" i="32"/>
  <c r="AP77" i="32"/>
  <c r="AR77" i="32"/>
  <c r="AS77" i="32"/>
  <c r="AT77" i="32"/>
  <c r="G78" i="32"/>
  <c r="H78" i="32"/>
  <c r="I78" i="32"/>
  <c r="L78" i="32"/>
  <c r="M78" i="32"/>
  <c r="N78" i="32"/>
  <c r="O78" i="32"/>
  <c r="P78" i="32"/>
  <c r="Q78" i="32"/>
  <c r="R78" i="32"/>
  <c r="S78" i="32"/>
  <c r="T78" i="32"/>
  <c r="U78" i="32"/>
  <c r="V78" i="32"/>
  <c r="X78" i="32"/>
  <c r="Y78" i="32"/>
  <c r="Z78" i="32"/>
  <c r="AA78" i="32"/>
  <c r="AB78" i="32"/>
  <c r="AC78" i="32"/>
  <c r="AD78" i="32"/>
  <c r="AE78" i="32"/>
  <c r="AF78" i="32"/>
  <c r="AG78" i="32"/>
  <c r="AH78" i="32"/>
  <c r="AI78" i="32"/>
  <c r="AJ78" i="32"/>
  <c r="AK78" i="32"/>
  <c r="AL78" i="32"/>
  <c r="AM78" i="32"/>
  <c r="AN78" i="32"/>
  <c r="AO78" i="32"/>
  <c r="AP78" i="32"/>
  <c r="AR78" i="32"/>
  <c r="AS78" i="32"/>
  <c r="AT78" i="32"/>
  <c r="G79" i="32"/>
  <c r="H79" i="32"/>
  <c r="I79" i="32"/>
  <c r="L79" i="32"/>
  <c r="M79" i="32"/>
  <c r="N79" i="32"/>
  <c r="O79" i="32"/>
  <c r="P79" i="32"/>
  <c r="Q79" i="32"/>
  <c r="R79" i="32"/>
  <c r="S79" i="32"/>
  <c r="T79" i="32"/>
  <c r="U79" i="32"/>
  <c r="V79" i="32"/>
  <c r="X79" i="32"/>
  <c r="Y79" i="32"/>
  <c r="Z79" i="32"/>
  <c r="AA79" i="32"/>
  <c r="AB79" i="32"/>
  <c r="AC79" i="32"/>
  <c r="AD79" i="32"/>
  <c r="AE79" i="32"/>
  <c r="AF79" i="32"/>
  <c r="AG79" i="32"/>
  <c r="AH79" i="32"/>
  <c r="AI79" i="32"/>
  <c r="AJ79" i="32"/>
  <c r="AK79" i="32"/>
  <c r="AL79" i="32"/>
  <c r="AM79" i="32"/>
  <c r="AN79" i="32"/>
  <c r="AO79" i="32"/>
  <c r="AP79" i="32"/>
  <c r="AR79" i="32"/>
  <c r="AS79" i="32"/>
  <c r="AT79" i="32"/>
  <c r="G80" i="32"/>
  <c r="H80" i="32"/>
  <c r="I80" i="32"/>
  <c r="L80" i="32"/>
  <c r="M80" i="32"/>
  <c r="N80" i="32"/>
  <c r="O80" i="32"/>
  <c r="P80" i="32"/>
  <c r="Q80" i="32"/>
  <c r="R80" i="32"/>
  <c r="S80" i="32"/>
  <c r="T80" i="32"/>
  <c r="U80" i="32"/>
  <c r="V80" i="32"/>
  <c r="X80" i="32"/>
  <c r="Y80" i="32"/>
  <c r="Z80" i="32"/>
  <c r="AA80" i="32"/>
  <c r="AB80" i="32"/>
  <c r="AC80" i="32"/>
  <c r="AD80" i="32"/>
  <c r="AE80" i="32"/>
  <c r="AF80" i="32"/>
  <c r="AG80" i="32"/>
  <c r="AH80" i="32"/>
  <c r="AI80" i="32"/>
  <c r="AJ80" i="32"/>
  <c r="AK80" i="32"/>
  <c r="AL80" i="32"/>
  <c r="AM80" i="32"/>
  <c r="AN80" i="32"/>
  <c r="AO80" i="32"/>
  <c r="AP80" i="32"/>
  <c r="AR80" i="32"/>
  <c r="AS80" i="32"/>
  <c r="AT80" i="32"/>
  <c r="G81" i="32"/>
  <c r="H81" i="32"/>
  <c r="I81" i="32"/>
  <c r="L81" i="32"/>
  <c r="M81" i="32"/>
  <c r="N81" i="32"/>
  <c r="O81" i="32"/>
  <c r="P81" i="32"/>
  <c r="Q81" i="32"/>
  <c r="R81" i="32"/>
  <c r="S81" i="32"/>
  <c r="T81" i="32"/>
  <c r="U81" i="32"/>
  <c r="V81" i="32"/>
  <c r="X81" i="32"/>
  <c r="Y81" i="32"/>
  <c r="Z81" i="32"/>
  <c r="AA81" i="32"/>
  <c r="AB81" i="32"/>
  <c r="AC81" i="32"/>
  <c r="AD81" i="32"/>
  <c r="AE81" i="32"/>
  <c r="AF81" i="32"/>
  <c r="AG81" i="32"/>
  <c r="AH81" i="32"/>
  <c r="AI81" i="32"/>
  <c r="AJ81" i="32"/>
  <c r="AK81" i="32"/>
  <c r="AL81" i="32"/>
  <c r="AM81" i="32"/>
  <c r="AN81" i="32"/>
  <c r="AO81" i="32"/>
  <c r="AP81" i="32"/>
  <c r="AR81" i="32"/>
  <c r="AS81" i="32"/>
  <c r="AT81" i="32"/>
  <c r="G82" i="32"/>
  <c r="H82" i="32"/>
  <c r="I82" i="32"/>
  <c r="J82" i="32"/>
  <c r="K82" i="32"/>
  <c r="L82" i="32"/>
  <c r="M82" i="32"/>
  <c r="N82" i="32"/>
  <c r="O82" i="32"/>
  <c r="P82" i="32"/>
  <c r="Q82" i="32"/>
  <c r="R82" i="32"/>
  <c r="S82" i="32"/>
  <c r="T82" i="32"/>
  <c r="U82" i="32"/>
  <c r="V82" i="32"/>
  <c r="W82" i="32"/>
  <c r="X82" i="32"/>
  <c r="Y82" i="32"/>
  <c r="Z82" i="32"/>
  <c r="AA82" i="32"/>
  <c r="AB82" i="32"/>
  <c r="AC82" i="32"/>
  <c r="AD82" i="32"/>
  <c r="AE82" i="32"/>
  <c r="AF82" i="32"/>
  <c r="AG82" i="32"/>
  <c r="AH82" i="32"/>
  <c r="AI82" i="32"/>
  <c r="AJ82" i="32"/>
  <c r="AK82" i="32"/>
  <c r="AL82" i="32"/>
  <c r="AM82" i="32"/>
  <c r="AN82" i="32"/>
  <c r="AO82" i="32"/>
  <c r="AP82" i="32"/>
  <c r="AQ82" i="32"/>
  <c r="AR82" i="32"/>
  <c r="AS82" i="32"/>
  <c r="AT82" i="32"/>
  <c r="G83" i="32"/>
  <c r="H83" i="32"/>
  <c r="I83" i="32"/>
  <c r="J83" i="32"/>
  <c r="K83" i="32"/>
  <c r="L83" i="32"/>
  <c r="M83" i="32"/>
  <c r="N83" i="32"/>
  <c r="O83" i="32"/>
  <c r="P83" i="32"/>
  <c r="Q83" i="32"/>
  <c r="R83" i="32"/>
  <c r="S83" i="32"/>
  <c r="T83" i="32"/>
  <c r="U83" i="32"/>
  <c r="V83" i="32"/>
  <c r="W83" i="32"/>
  <c r="X83" i="32"/>
  <c r="Y83" i="32"/>
  <c r="Z83" i="32"/>
  <c r="AA83" i="32"/>
  <c r="AB83" i="32"/>
  <c r="AC83" i="32"/>
  <c r="AD83" i="32"/>
  <c r="AE83" i="32"/>
  <c r="AF83" i="32"/>
  <c r="AG83" i="32"/>
  <c r="AH83" i="32"/>
  <c r="AI83" i="32"/>
  <c r="AJ83" i="32"/>
  <c r="AK83" i="32"/>
  <c r="AL83" i="32"/>
  <c r="AM83" i="32"/>
  <c r="AN83" i="32"/>
  <c r="AO83" i="32"/>
  <c r="AP83" i="32"/>
  <c r="AQ83" i="32"/>
  <c r="AR83" i="32"/>
  <c r="AS83" i="32"/>
  <c r="AT83" i="32"/>
  <c r="G84" i="32"/>
  <c r="H84" i="32"/>
  <c r="I84" i="32"/>
  <c r="L84" i="32"/>
  <c r="M84" i="32"/>
  <c r="N84" i="32"/>
  <c r="O84" i="32"/>
  <c r="P84" i="32"/>
  <c r="Q84" i="32"/>
  <c r="R84" i="32"/>
  <c r="S84" i="32"/>
  <c r="T84" i="32"/>
  <c r="U84" i="32"/>
  <c r="V84" i="32"/>
  <c r="X84" i="32"/>
  <c r="Y84" i="32"/>
  <c r="Z84" i="32"/>
  <c r="AA84" i="32"/>
  <c r="AB84" i="32"/>
  <c r="AC84" i="32"/>
  <c r="AD84" i="32"/>
  <c r="AE84" i="32"/>
  <c r="AF84" i="32"/>
  <c r="AG84" i="32"/>
  <c r="AH84" i="32"/>
  <c r="AI84" i="32"/>
  <c r="AJ84" i="32"/>
  <c r="AK84" i="32"/>
  <c r="AL84" i="32"/>
  <c r="AM84" i="32"/>
  <c r="AN84" i="32"/>
  <c r="AO84" i="32"/>
  <c r="AP84" i="32"/>
  <c r="AR84" i="32"/>
  <c r="AS84" i="32"/>
  <c r="AT84" i="32"/>
  <c r="G85" i="32"/>
  <c r="H85" i="32"/>
  <c r="I85" i="32"/>
  <c r="L85" i="32"/>
  <c r="M85" i="32"/>
  <c r="N85" i="32"/>
  <c r="O85" i="32"/>
  <c r="P85" i="32"/>
  <c r="Q85" i="32"/>
  <c r="R85" i="32"/>
  <c r="S85" i="32"/>
  <c r="T85" i="32"/>
  <c r="U85" i="32"/>
  <c r="V85" i="32"/>
  <c r="X85" i="32"/>
  <c r="Y85" i="32"/>
  <c r="Z85" i="32"/>
  <c r="AA85" i="32"/>
  <c r="AB85" i="32"/>
  <c r="AC85" i="32"/>
  <c r="AD85" i="32"/>
  <c r="AE85" i="32"/>
  <c r="AF85" i="32"/>
  <c r="AG85" i="32"/>
  <c r="AH85" i="32"/>
  <c r="AI85" i="32"/>
  <c r="AJ85" i="32"/>
  <c r="AK85" i="32"/>
  <c r="AL85" i="32"/>
  <c r="AM85" i="32"/>
  <c r="AN85" i="32"/>
  <c r="AO85" i="32"/>
  <c r="AP85" i="32"/>
  <c r="AR85" i="32"/>
  <c r="AS85" i="32"/>
  <c r="AT85" i="32"/>
  <c r="G86" i="32"/>
  <c r="H86" i="32"/>
  <c r="I86" i="32"/>
  <c r="L86" i="32"/>
  <c r="M86" i="32"/>
  <c r="N86" i="32"/>
  <c r="O86" i="32"/>
  <c r="P86" i="32"/>
  <c r="Q86" i="32"/>
  <c r="R86" i="32"/>
  <c r="S86" i="32"/>
  <c r="T86" i="32"/>
  <c r="U86" i="32"/>
  <c r="V86" i="32"/>
  <c r="X86" i="32"/>
  <c r="Y86" i="32"/>
  <c r="Z86" i="32"/>
  <c r="AA86" i="32"/>
  <c r="AB86" i="32"/>
  <c r="AC86" i="32"/>
  <c r="AD86" i="32"/>
  <c r="AE86" i="32"/>
  <c r="AF86" i="32"/>
  <c r="AG86" i="32"/>
  <c r="AH86" i="32"/>
  <c r="AI86" i="32"/>
  <c r="AJ86" i="32"/>
  <c r="AK86" i="32"/>
  <c r="AL86" i="32"/>
  <c r="AM86" i="32"/>
  <c r="AN86" i="32"/>
  <c r="AO86" i="32"/>
  <c r="AP86" i="32"/>
  <c r="AR86" i="32"/>
  <c r="AS86" i="32"/>
  <c r="AT86" i="32"/>
  <c r="G87" i="32"/>
  <c r="H87" i="32"/>
  <c r="I87" i="32"/>
  <c r="L87" i="32"/>
  <c r="M87" i="32"/>
  <c r="N87" i="32"/>
  <c r="O87" i="32"/>
  <c r="P87" i="32"/>
  <c r="Q87" i="32"/>
  <c r="R87" i="32"/>
  <c r="S87" i="32"/>
  <c r="T87" i="32"/>
  <c r="U87" i="32"/>
  <c r="V87" i="32"/>
  <c r="X87" i="32"/>
  <c r="Y87" i="32"/>
  <c r="Z87" i="32"/>
  <c r="AA87" i="32"/>
  <c r="AB87" i="32"/>
  <c r="AC87" i="32"/>
  <c r="AD87" i="32"/>
  <c r="AE87" i="32"/>
  <c r="AF87" i="32"/>
  <c r="AG87" i="32"/>
  <c r="AH87" i="32"/>
  <c r="AI87" i="32"/>
  <c r="AJ87" i="32"/>
  <c r="AK87" i="32"/>
  <c r="AL87" i="32"/>
  <c r="AM87" i="32"/>
  <c r="AN87" i="32"/>
  <c r="AO87" i="32"/>
  <c r="AP87" i="32"/>
  <c r="AR87" i="32"/>
  <c r="AS87" i="32"/>
  <c r="AT87" i="32"/>
  <c r="G88" i="32"/>
  <c r="H88" i="32"/>
  <c r="I88" i="32"/>
  <c r="L88" i="32"/>
  <c r="M88" i="32"/>
  <c r="N88" i="32"/>
  <c r="O88" i="32"/>
  <c r="P88" i="32"/>
  <c r="Q88" i="32"/>
  <c r="R88" i="32"/>
  <c r="S88" i="32"/>
  <c r="T88" i="32"/>
  <c r="U88" i="32"/>
  <c r="V88" i="32"/>
  <c r="X88" i="32"/>
  <c r="Y88" i="32"/>
  <c r="Z88" i="32"/>
  <c r="AA88" i="32"/>
  <c r="AB88" i="32"/>
  <c r="AC88" i="32"/>
  <c r="AD88" i="32"/>
  <c r="AE88" i="32"/>
  <c r="AF88" i="32"/>
  <c r="AG88" i="32"/>
  <c r="AH88" i="32"/>
  <c r="AI88" i="32"/>
  <c r="AJ88" i="32"/>
  <c r="AK88" i="32"/>
  <c r="AL88" i="32"/>
  <c r="AM88" i="32"/>
  <c r="AN88" i="32"/>
  <c r="AO88" i="32"/>
  <c r="AP88" i="32"/>
  <c r="AR88" i="32"/>
  <c r="AS88" i="32"/>
  <c r="AT88" i="32"/>
  <c r="G89" i="32"/>
  <c r="H89" i="32"/>
  <c r="I89" i="32"/>
  <c r="L89" i="32"/>
  <c r="M89" i="32"/>
  <c r="N89" i="32"/>
  <c r="O89" i="32"/>
  <c r="P89" i="32"/>
  <c r="Q89" i="32"/>
  <c r="R89" i="32"/>
  <c r="S89" i="32"/>
  <c r="T89" i="32"/>
  <c r="U89" i="32"/>
  <c r="V89" i="32"/>
  <c r="X89" i="32"/>
  <c r="Y89" i="32"/>
  <c r="Z89" i="32"/>
  <c r="AA89" i="32"/>
  <c r="AB89" i="32"/>
  <c r="AC89" i="32"/>
  <c r="AD89" i="32"/>
  <c r="AE89" i="32"/>
  <c r="AF89" i="32"/>
  <c r="AG89" i="32"/>
  <c r="AH89" i="32"/>
  <c r="AI89" i="32"/>
  <c r="AJ89" i="32"/>
  <c r="AK89" i="32"/>
  <c r="AL89" i="32"/>
  <c r="AM89" i="32"/>
  <c r="AN89" i="32"/>
  <c r="AO89" i="32"/>
  <c r="AP89" i="32"/>
  <c r="AR89" i="32"/>
  <c r="AS89" i="32"/>
  <c r="AT89" i="32"/>
  <c r="G90" i="32"/>
  <c r="H90" i="32"/>
  <c r="I90" i="32"/>
  <c r="L90" i="32"/>
  <c r="M90" i="32"/>
  <c r="N90" i="32"/>
  <c r="O90" i="32"/>
  <c r="P90" i="32"/>
  <c r="Q90" i="32"/>
  <c r="R90" i="32"/>
  <c r="S90" i="32"/>
  <c r="T90" i="32"/>
  <c r="U90" i="32"/>
  <c r="V90" i="32"/>
  <c r="X90" i="32"/>
  <c r="Y90" i="32"/>
  <c r="Z90" i="32"/>
  <c r="AA90" i="32"/>
  <c r="AB90" i="32"/>
  <c r="AC90" i="32"/>
  <c r="AD90" i="32"/>
  <c r="AE90" i="32"/>
  <c r="AF90" i="32"/>
  <c r="AG90" i="32"/>
  <c r="AH90" i="32"/>
  <c r="AI90" i="32"/>
  <c r="AJ90" i="32"/>
  <c r="AK90" i="32"/>
  <c r="AL90" i="32"/>
  <c r="AM90" i="32"/>
  <c r="AN90" i="32"/>
  <c r="AO90" i="32"/>
  <c r="AP90" i="32"/>
  <c r="AR90" i="32"/>
  <c r="AS90" i="32"/>
  <c r="AT90" i="32"/>
  <c r="G91" i="32"/>
  <c r="H91" i="32"/>
  <c r="I91" i="32"/>
  <c r="L91" i="32"/>
  <c r="M91" i="32"/>
  <c r="N91" i="32"/>
  <c r="O91" i="32"/>
  <c r="P91" i="32"/>
  <c r="Q91" i="32"/>
  <c r="R91" i="32"/>
  <c r="S91" i="32"/>
  <c r="T91" i="32"/>
  <c r="U91" i="32"/>
  <c r="V91" i="32"/>
  <c r="X91" i="32"/>
  <c r="Y91" i="32"/>
  <c r="Z91" i="32"/>
  <c r="AA91" i="32"/>
  <c r="AB91" i="32"/>
  <c r="AC91" i="32"/>
  <c r="AD91" i="32"/>
  <c r="AE91" i="32"/>
  <c r="AF91" i="32"/>
  <c r="AG91" i="32"/>
  <c r="AH91" i="32"/>
  <c r="AI91" i="32"/>
  <c r="AJ91" i="32"/>
  <c r="AK91" i="32"/>
  <c r="AL91" i="32"/>
  <c r="AM91" i="32"/>
  <c r="AN91" i="32"/>
  <c r="AO91" i="32"/>
  <c r="AP91" i="32"/>
  <c r="AR91" i="32"/>
  <c r="AS91" i="32"/>
  <c r="AT91" i="32"/>
  <c r="G92" i="32"/>
  <c r="H92" i="32"/>
  <c r="I92" i="32"/>
  <c r="L92" i="32"/>
  <c r="M92" i="32"/>
  <c r="N92" i="32"/>
  <c r="O92" i="32"/>
  <c r="P92" i="32"/>
  <c r="Q92" i="32"/>
  <c r="R92" i="32"/>
  <c r="S92" i="32"/>
  <c r="T92" i="32"/>
  <c r="U92" i="32"/>
  <c r="V92" i="32"/>
  <c r="X92" i="32"/>
  <c r="Y92" i="32"/>
  <c r="Z92" i="32"/>
  <c r="AA92" i="32"/>
  <c r="AB92" i="32"/>
  <c r="AC92" i="32"/>
  <c r="AD92" i="32"/>
  <c r="AE92" i="32"/>
  <c r="AF92" i="32"/>
  <c r="AG92" i="32"/>
  <c r="AH92" i="32"/>
  <c r="AI92" i="32"/>
  <c r="AJ92" i="32"/>
  <c r="AK92" i="32"/>
  <c r="AL92" i="32"/>
  <c r="AM92" i="32"/>
  <c r="AN92" i="32"/>
  <c r="AO92" i="32"/>
  <c r="AP92" i="32"/>
  <c r="AR92" i="32"/>
  <c r="AS92" i="32"/>
  <c r="AT92" i="32"/>
  <c r="G93" i="32"/>
  <c r="H93" i="32"/>
  <c r="I93" i="32"/>
  <c r="L93" i="32"/>
  <c r="M93" i="32"/>
  <c r="N93" i="32"/>
  <c r="O93" i="32"/>
  <c r="P93" i="32"/>
  <c r="Q93" i="32"/>
  <c r="R93" i="32"/>
  <c r="S93" i="32"/>
  <c r="T93" i="32"/>
  <c r="U93" i="32"/>
  <c r="V93" i="32"/>
  <c r="X93" i="32"/>
  <c r="Y93" i="32"/>
  <c r="Z93" i="32"/>
  <c r="AA93" i="32"/>
  <c r="AB93" i="32"/>
  <c r="AC93" i="32"/>
  <c r="AD93" i="32"/>
  <c r="AE93" i="32"/>
  <c r="AF93" i="32"/>
  <c r="AG93" i="32"/>
  <c r="AH93" i="32"/>
  <c r="AI93" i="32"/>
  <c r="AJ93" i="32"/>
  <c r="AK93" i="32"/>
  <c r="AL93" i="32"/>
  <c r="AM93" i="32"/>
  <c r="AN93" i="32"/>
  <c r="AO93" i="32"/>
  <c r="AP93" i="32"/>
  <c r="AR93" i="32"/>
  <c r="AS93" i="32"/>
  <c r="AT93" i="32"/>
  <c r="G94" i="32"/>
  <c r="H94" i="32"/>
  <c r="I94" i="32"/>
  <c r="L94" i="32"/>
  <c r="M94" i="32"/>
  <c r="N94" i="32"/>
  <c r="O94" i="32"/>
  <c r="P94" i="32"/>
  <c r="Q94" i="32"/>
  <c r="R94" i="32"/>
  <c r="S94" i="32"/>
  <c r="T94" i="32"/>
  <c r="U94" i="32"/>
  <c r="V94" i="32"/>
  <c r="X94" i="32"/>
  <c r="Y94" i="32"/>
  <c r="Z94" i="32"/>
  <c r="AA94" i="32"/>
  <c r="AB94" i="32"/>
  <c r="AC94" i="32"/>
  <c r="AD94" i="32"/>
  <c r="AE94" i="32"/>
  <c r="AF94" i="32"/>
  <c r="AG94" i="32"/>
  <c r="AH94" i="32"/>
  <c r="AI94" i="32"/>
  <c r="AJ94" i="32"/>
  <c r="AK94" i="32"/>
  <c r="AL94" i="32"/>
  <c r="AM94" i="32"/>
  <c r="AN94" i="32"/>
  <c r="AO94" i="32"/>
  <c r="AP94" i="32"/>
  <c r="AR94" i="32"/>
  <c r="AS94" i="32"/>
  <c r="AT94" i="32"/>
  <c r="G95" i="32"/>
  <c r="H95" i="32"/>
  <c r="I95" i="32"/>
  <c r="L95" i="32"/>
  <c r="M95" i="32"/>
  <c r="N95" i="32"/>
  <c r="O95" i="32"/>
  <c r="P95" i="32"/>
  <c r="Q95" i="32"/>
  <c r="R95" i="32"/>
  <c r="S95" i="32"/>
  <c r="T95" i="32"/>
  <c r="U95" i="32"/>
  <c r="V95" i="32"/>
  <c r="X95" i="32"/>
  <c r="Y95" i="32"/>
  <c r="Z95" i="32"/>
  <c r="AA95" i="32"/>
  <c r="AB95" i="32"/>
  <c r="AC95" i="32"/>
  <c r="AD95" i="32"/>
  <c r="AE95" i="32"/>
  <c r="AF95" i="32"/>
  <c r="AG95" i="32"/>
  <c r="AH95" i="32"/>
  <c r="AI95" i="32"/>
  <c r="AJ95" i="32"/>
  <c r="AK95" i="32"/>
  <c r="AL95" i="32"/>
  <c r="AM95" i="32"/>
  <c r="AN95" i="32"/>
  <c r="AO95" i="32"/>
  <c r="AP95" i="32"/>
  <c r="AR95" i="32"/>
  <c r="AS95" i="32"/>
  <c r="AT95" i="32"/>
  <c r="G96" i="32"/>
  <c r="H96" i="32"/>
  <c r="I96" i="32"/>
  <c r="L96" i="32"/>
  <c r="M96" i="32"/>
  <c r="N96" i="32"/>
  <c r="O96" i="32"/>
  <c r="P96" i="32"/>
  <c r="Q96" i="32"/>
  <c r="R96" i="32"/>
  <c r="S96" i="32"/>
  <c r="T96" i="32"/>
  <c r="U96" i="32"/>
  <c r="V96" i="32"/>
  <c r="X96" i="32"/>
  <c r="Y96" i="32"/>
  <c r="Z96" i="32"/>
  <c r="AA96" i="32"/>
  <c r="AB96" i="32"/>
  <c r="AC96" i="32"/>
  <c r="AD96" i="32"/>
  <c r="AE96" i="32"/>
  <c r="AF96" i="32"/>
  <c r="AG96" i="32"/>
  <c r="AH96" i="32"/>
  <c r="AI96" i="32"/>
  <c r="AJ96" i="32"/>
  <c r="AK96" i="32"/>
  <c r="AL96" i="32"/>
  <c r="AM96" i="32"/>
  <c r="AN96" i="32"/>
  <c r="AO96" i="32"/>
  <c r="AP96" i="32"/>
  <c r="AR96" i="32"/>
  <c r="AS96" i="32"/>
  <c r="AT96" i="32"/>
  <c r="G97" i="32"/>
  <c r="H97" i="32"/>
  <c r="I97" i="32"/>
  <c r="L97" i="32"/>
  <c r="M97" i="32"/>
  <c r="N97" i="32"/>
  <c r="O97" i="32"/>
  <c r="P97" i="32"/>
  <c r="Q97" i="32"/>
  <c r="R97" i="32"/>
  <c r="S97" i="32"/>
  <c r="T97" i="32"/>
  <c r="U97" i="32"/>
  <c r="V97" i="32"/>
  <c r="X97" i="32"/>
  <c r="Y97" i="32"/>
  <c r="Z97" i="32"/>
  <c r="AA97" i="32"/>
  <c r="AB97" i="32"/>
  <c r="AC97" i="32"/>
  <c r="AD97" i="32"/>
  <c r="AE97" i="32"/>
  <c r="AF97" i="32"/>
  <c r="AG97" i="32"/>
  <c r="AH97" i="32"/>
  <c r="AI97" i="32"/>
  <c r="AJ97" i="32"/>
  <c r="AK97" i="32"/>
  <c r="AL97" i="32"/>
  <c r="AM97" i="32"/>
  <c r="AN97" i="32"/>
  <c r="AO97" i="32"/>
  <c r="AP97" i="32"/>
  <c r="AR97" i="32"/>
  <c r="AS97" i="32"/>
  <c r="AT97" i="32"/>
  <c r="G98" i="32"/>
  <c r="H98" i="32"/>
  <c r="I98" i="32"/>
  <c r="L98" i="32"/>
  <c r="M98" i="32"/>
  <c r="N98" i="32"/>
  <c r="O98" i="32"/>
  <c r="P98" i="32"/>
  <c r="Q98" i="32"/>
  <c r="R98" i="32"/>
  <c r="S98" i="32"/>
  <c r="T98" i="32"/>
  <c r="U98" i="32"/>
  <c r="V98" i="32"/>
  <c r="X98" i="32"/>
  <c r="Y98" i="32"/>
  <c r="Z98" i="32"/>
  <c r="AA98" i="32"/>
  <c r="AB98" i="32"/>
  <c r="AC98" i="32"/>
  <c r="AD98" i="32"/>
  <c r="AE98" i="32"/>
  <c r="AF98" i="32"/>
  <c r="AG98" i="32"/>
  <c r="AH98" i="32"/>
  <c r="AI98" i="32"/>
  <c r="AJ98" i="32"/>
  <c r="AK98" i="32"/>
  <c r="AL98" i="32"/>
  <c r="AM98" i="32"/>
  <c r="AN98" i="32"/>
  <c r="AO98" i="32"/>
  <c r="AP98" i="32"/>
  <c r="AR98" i="32"/>
  <c r="AS98" i="32"/>
  <c r="AT98" i="32"/>
  <c r="G99" i="32"/>
  <c r="H99" i="32"/>
  <c r="I99" i="32"/>
  <c r="L99" i="32"/>
  <c r="M99" i="32"/>
  <c r="N99" i="32"/>
  <c r="O99" i="32"/>
  <c r="P99" i="32"/>
  <c r="Q99" i="32"/>
  <c r="R99" i="32"/>
  <c r="S99" i="32"/>
  <c r="T99" i="32"/>
  <c r="U99" i="32"/>
  <c r="V99" i="32"/>
  <c r="X99" i="32"/>
  <c r="Y99" i="32"/>
  <c r="Z99" i="32"/>
  <c r="AA99" i="32"/>
  <c r="AB99" i="32"/>
  <c r="AC99" i="32"/>
  <c r="AD99" i="32"/>
  <c r="AE99" i="32"/>
  <c r="AF99" i="32"/>
  <c r="AG99" i="32"/>
  <c r="AH99" i="32"/>
  <c r="AI99" i="32"/>
  <c r="AJ99" i="32"/>
  <c r="AK99" i="32"/>
  <c r="AL99" i="32"/>
  <c r="AM99" i="32"/>
  <c r="AN99" i="32"/>
  <c r="AO99" i="32"/>
  <c r="AP99" i="32"/>
  <c r="AR99" i="32"/>
  <c r="AS99" i="32"/>
  <c r="AT99" i="32"/>
  <c r="G100" i="32"/>
  <c r="H100" i="32"/>
  <c r="I100" i="32"/>
  <c r="L100" i="32"/>
  <c r="M100" i="32"/>
  <c r="N100" i="32"/>
  <c r="O100" i="32"/>
  <c r="P100" i="32"/>
  <c r="Q100" i="32"/>
  <c r="R100" i="32"/>
  <c r="S100" i="32"/>
  <c r="T100" i="32"/>
  <c r="U100" i="32"/>
  <c r="V100" i="32"/>
  <c r="X100" i="32"/>
  <c r="Y100" i="32"/>
  <c r="Z100" i="32"/>
  <c r="AA100" i="32"/>
  <c r="AB100" i="32"/>
  <c r="AC100" i="32"/>
  <c r="AD100" i="32"/>
  <c r="AE100" i="32"/>
  <c r="AF100" i="32"/>
  <c r="AG100" i="32"/>
  <c r="AH100" i="32"/>
  <c r="AI100" i="32"/>
  <c r="AJ100" i="32"/>
  <c r="AK100" i="32"/>
  <c r="AL100" i="32"/>
  <c r="AM100" i="32"/>
  <c r="AN100" i="32"/>
  <c r="AO100" i="32"/>
  <c r="AP100" i="32"/>
  <c r="AR100" i="32"/>
  <c r="AS100" i="32"/>
  <c r="AT100" i="32"/>
  <c r="G101" i="32"/>
  <c r="H101" i="32"/>
  <c r="I101" i="32"/>
  <c r="L101" i="32"/>
  <c r="M101" i="32"/>
  <c r="N101" i="32"/>
  <c r="O101" i="32"/>
  <c r="P101" i="32"/>
  <c r="Q101" i="32"/>
  <c r="R101" i="32"/>
  <c r="S101" i="32"/>
  <c r="T101" i="32"/>
  <c r="U101" i="32"/>
  <c r="V101" i="32"/>
  <c r="X101" i="32"/>
  <c r="Y101" i="32"/>
  <c r="Z101" i="32"/>
  <c r="AA101" i="32"/>
  <c r="AB101" i="32"/>
  <c r="AC101" i="32"/>
  <c r="AD101" i="32"/>
  <c r="AE101" i="32"/>
  <c r="AF101" i="32"/>
  <c r="AG101" i="32"/>
  <c r="AH101" i="32"/>
  <c r="AI101" i="32"/>
  <c r="AJ101" i="32"/>
  <c r="AK101" i="32"/>
  <c r="AL101" i="32"/>
  <c r="AM101" i="32"/>
  <c r="AN101" i="32"/>
  <c r="AO101" i="32"/>
  <c r="AP101" i="32"/>
  <c r="AR101" i="32"/>
  <c r="AS101" i="32"/>
  <c r="AT101" i="32"/>
  <c r="G102" i="32"/>
  <c r="H102" i="32"/>
  <c r="I102" i="32"/>
  <c r="L102" i="32"/>
  <c r="M102" i="32"/>
  <c r="N102" i="32"/>
  <c r="O102" i="32"/>
  <c r="P102" i="32"/>
  <c r="Q102" i="32"/>
  <c r="R102" i="32"/>
  <c r="S102" i="32"/>
  <c r="T102" i="32"/>
  <c r="U102" i="32"/>
  <c r="V102" i="32"/>
  <c r="X102" i="32"/>
  <c r="Y102" i="32"/>
  <c r="Z102" i="32"/>
  <c r="AA102" i="32"/>
  <c r="AB102" i="32"/>
  <c r="AC102" i="32"/>
  <c r="AD102" i="32"/>
  <c r="AE102" i="32"/>
  <c r="AF102" i="32"/>
  <c r="AG102" i="32"/>
  <c r="AH102" i="32"/>
  <c r="AI102" i="32"/>
  <c r="AJ102" i="32"/>
  <c r="AK102" i="32"/>
  <c r="AL102" i="32"/>
  <c r="AM102" i="32"/>
  <c r="AN102" i="32"/>
  <c r="AO102" i="32"/>
  <c r="AP102" i="32"/>
  <c r="AR102" i="32"/>
  <c r="AS102" i="32"/>
  <c r="AT102" i="32"/>
  <c r="G103" i="32"/>
  <c r="H103" i="32"/>
  <c r="I103" i="32"/>
  <c r="L103" i="32"/>
  <c r="M103" i="32"/>
  <c r="N103" i="32"/>
  <c r="O103" i="32"/>
  <c r="P103" i="32"/>
  <c r="Q103" i="32"/>
  <c r="R103" i="32"/>
  <c r="S103" i="32"/>
  <c r="T103" i="32"/>
  <c r="U103" i="32"/>
  <c r="V103" i="32"/>
  <c r="X103" i="32"/>
  <c r="Y103" i="32"/>
  <c r="Z103" i="32"/>
  <c r="AA103" i="32"/>
  <c r="AB103" i="32"/>
  <c r="AC103" i="32"/>
  <c r="AD103" i="32"/>
  <c r="AE103" i="32"/>
  <c r="AF103" i="32"/>
  <c r="AG103" i="32"/>
  <c r="AH103" i="32"/>
  <c r="AI103" i="32"/>
  <c r="AJ103" i="32"/>
  <c r="AK103" i="32"/>
  <c r="AL103" i="32"/>
  <c r="AM103" i="32"/>
  <c r="AN103" i="32"/>
  <c r="AO103" i="32"/>
  <c r="AP103" i="32"/>
  <c r="AR103" i="32"/>
  <c r="AS103" i="32"/>
  <c r="AT103" i="32"/>
  <c r="G104" i="32"/>
  <c r="H104" i="32"/>
  <c r="I104" i="32"/>
  <c r="L104" i="32"/>
  <c r="M104" i="32"/>
  <c r="N104" i="32"/>
  <c r="O104" i="32"/>
  <c r="P104" i="32"/>
  <c r="Q104" i="32"/>
  <c r="R104" i="32"/>
  <c r="S104" i="32"/>
  <c r="T104" i="32"/>
  <c r="U104" i="32"/>
  <c r="V104" i="32"/>
  <c r="X104" i="32"/>
  <c r="Y104" i="32"/>
  <c r="Z104" i="32"/>
  <c r="AA104" i="32"/>
  <c r="AB104" i="32"/>
  <c r="AC104" i="32"/>
  <c r="AD104" i="32"/>
  <c r="AE104" i="32"/>
  <c r="AF104" i="32"/>
  <c r="AG104" i="32"/>
  <c r="AH104" i="32"/>
  <c r="AI104" i="32"/>
  <c r="AJ104" i="32"/>
  <c r="AK104" i="32"/>
  <c r="AL104" i="32"/>
  <c r="AM104" i="32"/>
  <c r="AN104" i="32"/>
  <c r="AO104" i="32"/>
  <c r="AP104" i="32"/>
  <c r="AR104" i="32"/>
  <c r="AS104" i="32"/>
  <c r="AT104" i="32"/>
  <c r="G105" i="32"/>
  <c r="H105" i="32"/>
  <c r="I105" i="32"/>
  <c r="L105" i="32"/>
  <c r="M105" i="32"/>
  <c r="N105" i="32"/>
  <c r="O105" i="32"/>
  <c r="P105" i="32"/>
  <c r="Q105" i="32"/>
  <c r="R105" i="32"/>
  <c r="S105" i="32"/>
  <c r="T105" i="32"/>
  <c r="U105" i="32"/>
  <c r="V105" i="32"/>
  <c r="X105" i="32"/>
  <c r="Y105" i="32"/>
  <c r="Z105" i="32"/>
  <c r="AA105" i="32"/>
  <c r="AB105" i="32"/>
  <c r="AC105" i="32"/>
  <c r="AD105" i="32"/>
  <c r="AE105" i="32"/>
  <c r="AF105" i="32"/>
  <c r="AG105" i="32"/>
  <c r="AH105" i="32"/>
  <c r="AI105" i="32"/>
  <c r="AJ105" i="32"/>
  <c r="AK105" i="32"/>
  <c r="AL105" i="32"/>
  <c r="AM105" i="32"/>
  <c r="AN105" i="32"/>
  <c r="AO105" i="32"/>
  <c r="AP105" i="32"/>
  <c r="AR105" i="32"/>
  <c r="AS105" i="32"/>
  <c r="AT105" i="32"/>
  <c r="G106" i="32"/>
  <c r="H106" i="32"/>
  <c r="I106" i="32"/>
  <c r="L106" i="32"/>
  <c r="M106" i="32"/>
  <c r="N106" i="32"/>
  <c r="O106" i="32"/>
  <c r="P106" i="32"/>
  <c r="Q106" i="32"/>
  <c r="R106" i="32"/>
  <c r="S106" i="32"/>
  <c r="T106" i="32"/>
  <c r="U106" i="32"/>
  <c r="V106" i="32"/>
  <c r="X106" i="32"/>
  <c r="Y106" i="32"/>
  <c r="Z106" i="32"/>
  <c r="AA106" i="32"/>
  <c r="AB106" i="32"/>
  <c r="AC106" i="32"/>
  <c r="AD106" i="32"/>
  <c r="AE106" i="32"/>
  <c r="AF106" i="32"/>
  <c r="AG106" i="32"/>
  <c r="AH106" i="32"/>
  <c r="AI106" i="32"/>
  <c r="AJ106" i="32"/>
  <c r="AK106" i="32"/>
  <c r="AL106" i="32"/>
  <c r="AM106" i="32"/>
  <c r="AN106" i="32"/>
  <c r="AO106" i="32"/>
  <c r="AP106" i="32"/>
  <c r="AR106" i="32"/>
  <c r="AS106" i="32"/>
  <c r="AT106" i="32"/>
  <c r="F106" i="32"/>
  <c r="B106" i="32" s="1"/>
  <c r="F105" i="32"/>
  <c r="B105" i="32" s="1"/>
  <c r="F104" i="32"/>
  <c r="B104" i="32" s="1"/>
  <c r="F103" i="32"/>
  <c r="B103" i="32" s="1"/>
  <c r="F102" i="32"/>
  <c r="B102" i="32" s="1"/>
  <c r="F101" i="32"/>
  <c r="B101" i="32" s="1"/>
  <c r="F100" i="32"/>
  <c r="B100" i="32" s="1"/>
  <c r="F99" i="32"/>
  <c r="B99" i="32" s="1"/>
  <c r="F98" i="32"/>
  <c r="B98" i="32" s="1"/>
  <c r="F97" i="32"/>
  <c r="B97" i="32" s="1"/>
  <c r="F96" i="32"/>
  <c r="B96" i="32" s="1"/>
  <c r="F95" i="32"/>
  <c r="B95" i="32" s="1"/>
  <c r="F94" i="32"/>
  <c r="B94" i="32" s="1"/>
  <c r="F93" i="32"/>
  <c r="B93" i="32" s="1"/>
  <c r="F92" i="32"/>
  <c r="B92" i="32" s="1"/>
  <c r="F91" i="32"/>
  <c r="F90" i="32"/>
  <c r="F89" i="32"/>
  <c r="F88" i="32"/>
  <c r="F87" i="32"/>
  <c r="F86" i="32"/>
  <c r="F85" i="32"/>
  <c r="F84" i="32"/>
  <c r="C84" i="32" s="1"/>
  <c r="F83" i="32"/>
  <c r="C83" i="32" s="1"/>
  <c r="F82" i="32"/>
  <c r="C82" i="32" s="1"/>
  <c r="F81" i="32"/>
  <c r="F80" i="32"/>
  <c r="F79" i="32"/>
  <c r="F78" i="32"/>
  <c r="F77" i="32"/>
  <c r="F76" i="32"/>
  <c r="F75" i="32"/>
  <c r="F74" i="32"/>
  <c r="F73" i="32"/>
  <c r="F72" i="32"/>
  <c r="F71" i="32"/>
  <c r="F70" i="32"/>
  <c r="F69" i="32"/>
  <c r="F68" i="32"/>
  <c r="F67" i="32"/>
  <c r="C67" i="32" s="1"/>
  <c r="F66" i="32"/>
  <c r="C66" i="32" s="1"/>
  <c r="F65" i="32"/>
  <c r="C65" i="32" s="1"/>
  <c r="F64" i="32"/>
  <c r="F63" i="32"/>
  <c r="C63" i="32" s="1"/>
  <c r="F62" i="32"/>
  <c r="F61" i="32"/>
  <c r="F60" i="32"/>
  <c r="C60" i="32" s="1"/>
  <c r="F59" i="32"/>
  <c r="F58" i="32"/>
  <c r="F57" i="32"/>
  <c r="F56" i="32"/>
  <c r="F55" i="32"/>
  <c r="F54" i="32"/>
  <c r="F53" i="32"/>
  <c r="F52" i="32"/>
  <c r="F51" i="32"/>
  <c r="F50" i="32"/>
  <c r="C50" i="32" s="1"/>
  <c r="F49" i="32"/>
  <c r="C49" i="32" s="1"/>
  <c r="F48" i="32"/>
  <c r="F47" i="32"/>
  <c r="F46" i="32"/>
  <c r="F45" i="32"/>
  <c r="F44" i="32"/>
  <c r="F43" i="32"/>
  <c r="C43" i="32" s="1"/>
  <c r="F42" i="32"/>
  <c r="F41" i="32"/>
  <c r="F40" i="32"/>
  <c r="F39" i="32"/>
  <c r="F38" i="32"/>
  <c r="F37" i="32"/>
  <c r="F36" i="32"/>
  <c r="F35" i="32"/>
  <c r="F34" i="32"/>
  <c r="C34" i="32" s="1"/>
  <c r="F33" i="32"/>
  <c r="C33" i="32" s="1"/>
  <c r="F32" i="32"/>
  <c r="C32" i="32" s="1"/>
  <c r="F31" i="32"/>
  <c r="F30" i="32"/>
  <c r="F29" i="32"/>
  <c r="F28" i="32"/>
  <c r="F27" i="32"/>
  <c r="F26" i="32"/>
  <c r="F25" i="32"/>
  <c r="F24" i="32"/>
  <c r="F23" i="32"/>
  <c r="F22" i="32"/>
  <c r="F21" i="32"/>
  <c r="F20" i="32"/>
  <c r="C20" i="32" s="1"/>
  <c r="F19" i="32"/>
  <c r="F18" i="32"/>
  <c r="F17" i="32"/>
  <c r="F16" i="32"/>
  <c r="F15" i="32"/>
  <c r="C15" i="32" s="1"/>
  <c r="F14" i="32"/>
  <c r="F13" i="32"/>
  <c r="C13" i="32" s="1"/>
  <c r="F12" i="32"/>
  <c r="F11" i="32"/>
  <c r="C11" i="32" s="1"/>
  <c r="F10" i="32"/>
  <c r="F8" i="32"/>
  <c r="C8" i="32" s="1"/>
  <c r="F9" i="32"/>
  <c r="E106" i="32"/>
  <c r="E105" i="32"/>
  <c r="E104" i="32"/>
  <c r="E103" i="32"/>
  <c r="E102" i="32"/>
  <c r="E101" i="32"/>
  <c r="E100" i="32"/>
  <c r="E99" i="32"/>
  <c r="E98" i="32"/>
  <c r="E97" i="32"/>
  <c r="E96" i="32"/>
  <c r="E95" i="32"/>
  <c r="E94" i="32"/>
  <c r="E93" i="32"/>
  <c r="E92" i="32"/>
  <c r="E91" i="32"/>
  <c r="E90" i="32"/>
  <c r="E89" i="32"/>
  <c r="E88" i="32"/>
  <c r="E87" i="32"/>
  <c r="E86" i="32"/>
  <c r="E85" i="32"/>
  <c r="E84" i="32"/>
  <c r="E83" i="32"/>
  <c r="E82" i="32"/>
  <c r="E81" i="32"/>
  <c r="E80" i="32"/>
  <c r="E79" i="32"/>
  <c r="E78" i="32"/>
  <c r="E77" i="32"/>
  <c r="E76" i="32"/>
  <c r="E75" i="32"/>
  <c r="E74" i="32"/>
  <c r="E73" i="32"/>
  <c r="E72" i="32"/>
  <c r="E71" i="32"/>
  <c r="E70" i="32"/>
  <c r="E69" i="32"/>
  <c r="E68" i="32"/>
  <c r="E67" i="32"/>
  <c r="E66" i="32"/>
  <c r="E65" i="32"/>
  <c r="E64" i="32"/>
  <c r="E63" i="32"/>
  <c r="E62" i="32"/>
  <c r="E61" i="32"/>
  <c r="E60" i="32"/>
  <c r="E59" i="32"/>
  <c r="E58" i="32"/>
  <c r="E57" i="32"/>
  <c r="E56" i="32"/>
  <c r="E55" i="32"/>
  <c r="E54" i="32"/>
  <c r="E53" i="32"/>
  <c r="E52" i="32"/>
  <c r="E51" i="32"/>
  <c r="E50" i="32"/>
  <c r="E49" i="32"/>
  <c r="E48" i="32"/>
  <c r="E47" i="32"/>
  <c r="E46" i="32"/>
  <c r="E45" i="32"/>
  <c r="E44" i="32"/>
  <c r="E43" i="32"/>
  <c r="E42" i="32"/>
  <c r="E41" i="32"/>
  <c r="E40" i="32"/>
  <c r="E39" i="32"/>
  <c r="E38" i="32"/>
  <c r="E37" i="32"/>
  <c r="E36" i="32"/>
  <c r="E35" i="32"/>
  <c r="E34" i="32"/>
  <c r="E33" i="32"/>
  <c r="E32" i="32"/>
  <c r="E31" i="32"/>
  <c r="E30" i="32"/>
  <c r="E29" i="32"/>
  <c r="E28" i="32"/>
  <c r="E27" i="32"/>
  <c r="E26" i="32"/>
  <c r="E25" i="32"/>
  <c r="E24" i="32"/>
  <c r="E23" i="32"/>
  <c r="E22" i="32"/>
  <c r="E21" i="32"/>
  <c r="E20" i="32"/>
  <c r="E19" i="32"/>
  <c r="E18" i="32"/>
  <c r="E17" i="32"/>
  <c r="E16" i="32"/>
  <c r="E15" i="32"/>
  <c r="E14" i="32"/>
  <c r="E13" i="32"/>
  <c r="E12" i="32"/>
  <c r="E11" i="32"/>
  <c r="E10" i="32"/>
  <c r="E9" i="32"/>
  <c r="E8" i="32"/>
  <c r="B109" i="32"/>
  <c r="W107" i="32"/>
  <c r="B106" i="12"/>
  <c r="B105" i="12"/>
  <c r="B104" i="12"/>
  <c r="B103" i="12"/>
  <c r="B102" i="12"/>
  <c r="B101" i="12"/>
  <c r="B100" i="12"/>
  <c r="B99" i="12"/>
  <c r="B98" i="12"/>
  <c r="B97" i="12"/>
  <c r="B96" i="12"/>
  <c r="B95" i="12"/>
  <c r="B94" i="12"/>
  <c r="B93" i="12"/>
  <c r="B92" i="12"/>
  <c r="B8" i="12"/>
  <c r="AO107" i="12"/>
  <c r="AP107" i="12"/>
  <c r="AC107" i="12"/>
  <c r="AD107" i="12"/>
  <c r="AE107" i="12"/>
  <c r="AF107" i="12"/>
  <c r="AB107" i="12"/>
  <c r="I107" i="12"/>
  <c r="H107" i="12"/>
  <c r="AA107" i="12"/>
  <c r="G107" i="12"/>
  <c r="H32" i="3" l="1"/>
  <c r="H48" i="3"/>
  <c r="G24" i="3"/>
  <c r="H26" i="3"/>
  <c r="P26" i="3" s="1"/>
  <c r="H47" i="3"/>
  <c r="H90" i="3"/>
  <c r="S90" i="3" s="1"/>
  <c r="M9" i="3"/>
  <c r="U9" i="3"/>
  <c r="O9" i="3"/>
  <c r="W9" i="3"/>
  <c r="L9" i="3"/>
  <c r="P9" i="3"/>
  <c r="T9" i="3"/>
  <c r="H15" i="3"/>
  <c r="T15" i="3" s="1"/>
  <c r="H79" i="3"/>
  <c r="W79" i="3" s="1"/>
  <c r="H58" i="3"/>
  <c r="S58" i="3" s="1"/>
  <c r="H31" i="3"/>
  <c r="X31" i="3" s="1"/>
  <c r="H63" i="3"/>
  <c r="W63" i="3" s="1"/>
  <c r="H10" i="3"/>
  <c r="S10" i="3" s="1"/>
  <c r="H42" i="3"/>
  <c r="T42" i="3" s="1"/>
  <c r="H74" i="3"/>
  <c r="S74" i="3" s="1"/>
  <c r="H23" i="3"/>
  <c r="X23" i="3" s="1"/>
  <c r="H39" i="3"/>
  <c r="X39" i="3" s="1"/>
  <c r="H55" i="3"/>
  <c r="W55" i="3" s="1"/>
  <c r="H71" i="3"/>
  <c r="W71" i="3" s="1"/>
  <c r="H87" i="3"/>
  <c r="W87" i="3" s="1"/>
  <c r="H18" i="3"/>
  <c r="T18" i="3" s="1"/>
  <c r="H34" i="3"/>
  <c r="T34" i="3" s="1"/>
  <c r="H50" i="3"/>
  <c r="S50" i="3" s="1"/>
  <c r="H66" i="3"/>
  <c r="S66" i="3" s="1"/>
  <c r="H82" i="3"/>
  <c r="S82" i="3" s="1"/>
  <c r="H11" i="3"/>
  <c r="W11" i="3" s="1"/>
  <c r="H19" i="3"/>
  <c r="X19" i="3" s="1"/>
  <c r="H27" i="3"/>
  <c r="X27" i="3" s="1"/>
  <c r="H35" i="3"/>
  <c r="X35" i="3" s="1"/>
  <c r="H43" i="3"/>
  <c r="W43" i="3" s="1"/>
  <c r="H51" i="3"/>
  <c r="W51" i="3" s="1"/>
  <c r="H59" i="3"/>
  <c r="W59" i="3" s="1"/>
  <c r="H67" i="3"/>
  <c r="W67" i="3" s="1"/>
  <c r="H75" i="3"/>
  <c r="X75" i="3" s="1"/>
  <c r="H83" i="3"/>
  <c r="W83" i="3" s="1"/>
  <c r="H91" i="3"/>
  <c r="W91" i="3" s="1"/>
  <c r="H14" i="3"/>
  <c r="X14" i="3" s="1"/>
  <c r="H22" i="3"/>
  <c r="W22" i="3" s="1"/>
  <c r="H30" i="3"/>
  <c r="X30" i="3" s="1"/>
  <c r="H38" i="3"/>
  <c r="X38" i="3" s="1"/>
  <c r="H46" i="3"/>
  <c r="X46" i="3" s="1"/>
  <c r="H54" i="3"/>
  <c r="X54" i="3" s="1"/>
  <c r="H62" i="3"/>
  <c r="W62" i="3" s="1"/>
  <c r="H70" i="3"/>
  <c r="W70" i="3" s="1"/>
  <c r="H78" i="3"/>
  <c r="W78" i="3" s="1"/>
  <c r="H86" i="3"/>
  <c r="V86" i="3" s="1"/>
  <c r="I19" i="3"/>
  <c r="W27" i="3"/>
  <c r="S27" i="3"/>
  <c r="I35" i="3"/>
  <c r="X43" i="3"/>
  <c r="J51" i="3"/>
  <c r="X59" i="3"/>
  <c r="T59" i="3"/>
  <c r="L83" i="3"/>
  <c r="V91" i="3"/>
  <c r="R91" i="3"/>
  <c r="I14" i="3"/>
  <c r="V16" i="3"/>
  <c r="R16" i="3"/>
  <c r="N16" i="3"/>
  <c r="J16" i="3"/>
  <c r="S16" i="3"/>
  <c r="K16" i="3"/>
  <c r="Q16" i="3"/>
  <c r="I16" i="3"/>
  <c r="X16" i="3"/>
  <c r="T16" i="3"/>
  <c r="P16" i="3"/>
  <c r="L16" i="3"/>
  <c r="W16" i="3"/>
  <c r="O16" i="3"/>
  <c r="U16" i="3"/>
  <c r="M16" i="3"/>
  <c r="X22" i="3"/>
  <c r="V24" i="3"/>
  <c r="R24" i="3"/>
  <c r="N24" i="3"/>
  <c r="J24" i="3"/>
  <c r="S24" i="3"/>
  <c r="K24" i="3"/>
  <c r="Q24" i="3"/>
  <c r="I24" i="3"/>
  <c r="X24" i="3"/>
  <c r="T24" i="3"/>
  <c r="P24" i="3"/>
  <c r="L24" i="3"/>
  <c r="W24" i="3"/>
  <c r="O24" i="3"/>
  <c r="U24" i="3"/>
  <c r="M24" i="3"/>
  <c r="I30" i="3"/>
  <c r="V32" i="3"/>
  <c r="R32" i="3"/>
  <c r="N32" i="3"/>
  <c r="J32" i="3"/>
  <c r="S32" i="3"/>
  <c r="K32" i="3"/>
  <c r="Q32" i="3"/>
  <c r="I32" i="3"/>
  <c r="X32" i="3"/>
  <c r="T32" i="3"/>
  <c r="P32" i="3"/>
  <c r="L32" i="3"/>
  <c r="W32" i="3"/>
  <c r="O32" i="3"/>
  <c r="U32" i="3"/>
  <c r="M32" i="3"/>
  <c r="W38" i="3"/>
  <c r="S38" i="3"/>
  <c r="V40" i="3"/>
  <c r="R40" i="3"/>
  <c r="N40" i="3"/>
  <c r="J40" i="3"/>
  <c r="S40" i="3"/>
  <c r="K40" i="3"/>
  <c r="Q40" i="3"/>
  <c r="I40" i="3"/>
  <c r="X40" i="3"/>
  <c r="T40" i="3"/>
  <c r="P40" i="3"/>
  <c r="L40" i="3"/>
  <c r="W40" i="3"/>
  <c r="O40" i="3"/>
  <c r="U40" i="3"/>
  <c r="M40" i="3"/>
  <c r="U48" i="3"/>
  <c r="Q48" i="3"/>
  <c r="T48" i="3"/>
  <c r="N48" i="3"/>
  <c r="J48" i="3"/>
  <c r="R48" i="3"/>
  <c r="M48" i="3"/>
  <c r="I48" i="3"/>
  <c r="W48" i="3"/>
  <c r="S48" i="3"/>
  <c r="X48" i="3"/>
  <c r="P48" i="3"/>
  <c r="L48" i="3"/>
  <c r="V48" i="3"/>
  <c r="O48" i="3"/>
  <c r="K48" i="3"/>
  <c r="U56" i="3"/>
  <c r="Q56" i="3"/>
  <c r="M56" i="3"/>
  <c r="I56" i="3"/>
  <c r="T56" i="3"/>
  <c r="L56" i="3"/>
  <c r="R56" i="3"/>
  <c r="J56" i="3"/>
  <c r="W56" i="3"/>
  <c r="S56" i="3"/>
  <c r="O56" i="3"/>
  <c r="K56" i="3"/>
  <c r="X56" i="3"/>
  <c r="P56" i="3"/>
  <c r="V56" i="3"/>
  <c r="N56" i="3"/>
  <c r="J62" i="3"/>
  <c r="U64" i="3"/>
  <c r="Q64" i="3"/>
  <c r="M64" i="3"/>
  <c r="I64" i="3"/>
  <c r="T64" i="3"/>
  <c r="L64" i="3"/>
  <c r="R64" i="3"/>
  <c r="J64" i="3"/>
  <c r="W64" i="3"/>
  <c r="S64" i="3"/>
  <c r="O64" i="3"/>
  <c r="K64" i="3"/>
  <c r="X64" i="3"/>
  <c r="P64" i="3"/>
  <c r="V64" i="3"/>
  <c r="N64" i="3"/>
  <c r="X70" i="3"/>
  <c r="T70" i="3"/>
  <c r="U72" i="3"/>
  <c r="Q72" i="3"/>
  <c r="M72" i="3"/>
  <c r="I72" i="3"/>
  <c r="T72" i="3"/>
  <c r="L72" i="3"/>
  <c r="R72" i="3"/>
  <c r="J72" i="3"/>
  <c r="W72" i="3"/>
  <c r="S72" i="3"/>
  <c r="O72" i="3"/>
  <c r="K72" i="3"/>
  <c r="X72" i="3"/>
  <c r="P72" i="3"/>
  <c r="V72" i="3"/>
  <c r="N72" i="3"/>
  <c r="J78" i="3"/>
  <c r="U80" i="3"/>
  <c r="Q80" i="3"/>
  <c r="R80" i="3"/>
  <c r="M80" i="3"/>
  <c r="I80" i="3"/>
  <c r="P80" i="3"/>
  <c r="T80" i="3"/>
  <c r="J80" i="3"/>
  <c r="W80" i="3"/>
  <c r="S80" i="3"/>
  <c r="V80" i="3"/>
  <c r="O80" i="3"/>
  <c r="K80" i="3"/>
  <c r="X80" i="3"/>
  <c r="L80" i="3"/>
  <c r="N80" i="3"/>
  <c r="W86" i="3"/>
  <c r="U88" i="3"/>
  <c r="Q88" i="3"/>
  <c r="M88" i="3"/>
  <c r="I88" i="3"/>
  <c r="R88" i="3"/>
  <c r="J88" i="3"/>
  <c r="P88" i="3"/>
  <c r="L88" i="3"/>
  <c r="W88" i="3"/>
  <c r="S88" i="3"/>
  <c r="O88" i="3"/>
  <c r="K88" i="3"/>
  <c r="V88" i="3"/>
  <c r="N88" i="3"/>
  <c r="X88" i="3"/>
  <c r="T88" i="3"/>
  <c r="X15" i="3"/>
  <c r="P15" i="3"/>
  <c r="W15" i="3"/>
  <c r="U15" i="3"/>
  <c r="V15" i="3"/>
  <c r="N15" i="3"/>
  <c r="S15" i="3"/>
  <c r="Q15" i="3"/>
  <c r="T23" i="3"/>
  <c r="O23" i="3"/>
  <c r="R23" i="3"/>
  <c r="K23" i="3"/>
  <c r="L31" i="3"/>
  <c r="M31" i="3"/>
  <c r="J31" i="3"/>
  <c r="I31" i="3"/>
  <c r="M39" i="3"/>
  <c r="I39" i="3"/>
  <c r="X47" i="3"/>
  <c r="T47" i="3"/>
  <c r="P47" i="3"/>
  <c r="L47" i="3"/>
  <c r="W47" i="3"/>
  <c r="S47" i="3"/>
  <c r="O47" i="3"/>
  <c r="K47" i="3"/>
  <c r="V47" i="3"/>
  <c r="R47" i="3"/>
  <c r="N47" i="3"/>
  <c r="J47" i="3"/>
  <c r="U47" i="3"/>
  <c r="Q47" i="3"/>
  <c r="M47" i="3"/>
  <c r="I47" i="3"/>
  <c r="L55" i="3"/>
  <c r="S63" i="3"/>
  <c r="P63" i="3"/>
  <c r="Q63" i="3"/>
  <c r="L63" i="3"/>
  <c r="N71" i="3"/>
  <c r="J71" i="3"/>
  <c r="K79" i="3"/>
  <c r="N79" i="3"/>
  <c r="I79" i="3"/>
  <c r="J79" i="3"/>
  <c r="S87" i="3"/>
  <c r="N87" i="3"/>
  <c r="Q87" i="3"/>
  <c r="J87" i="3"/>
  <c r="L10" i="3"/>
  <c r="M10" i="3"/>
  <c r="V12" i="3"/>
  <c r="R12" i="3"/>
  <c r="N12" i="3"/>
  <c r="J12" i="3"/>
  <c r="S12" i="3"/>
  <c r="K12" i="3"/>
  <c r="Q12" i="3"/>
  <c r="I12" i="3"/>
  <c r="X12" i="3"/>
  <c r="T12" i="3"/>
  <c r="P12" i="3"/>
  <c r="L12" i="3"/>
  <c r="W12" i="3"/>
  <c r="O12" i="3"/>
  <c r="U12" i="3"/>
  <c r="M12" i="3"/>
  <c r="X18" i="3"/>
  <c r="V18" i="3"/>
  <c r="V20" i="3"/>
  <c r="R20" i="3"/>
  <c r="N20" i="3"/>
  <c r="J20" i="3"/>
  <c r="S20" i="3"/>
  <c r="K20" i="3"/>
  <c r="Q20" i="3"/>
  <c r="I20" i="3"/>
  <c r="X20" i="3"/>
  <c r="T20" i="3"/>
  <c r="P20" i="3"/>
  <c r="L20" i="3"/>
  <c r="W20" i="3"/>
  <c r="O20" i="3"/>
  <c r="U20" i="3"/>
  <c r="M20" i="3"/>
  <c r="T26" i="3"/>
  <c r="O26" i="3"/>
  <c r="R26" i="3"/>
  <c r="K26" i="3"/>
  <c r="V28" i="3"/>
  <c r="R28" i="3"/>
  <c r="N28" i="3"/>
  <c r="J28" i="3"/>
  <c r="S28" i="3"/>
  <c r="K28" i="3"/>
  <c r="Q28" i="3"/>
  <c r="I28" i="3"/>
  <c r="X28" i="3"/>
  <c r="T28" i="3"/>
  <c r="P28" i="3"/>
  <c r="L28" i="3"/>
  <c r="W28" i="3"/>
  <c r="O28" i="3"/>
  <c r="U28" i="3"/>
  <c r="M28" i="3"/>
  <c r="W34" i="3"/>
  <c r="V36" i="3"/>
  <c r="R36" i="3"/>
  <c r="N36" i="3"/>
  <c r="J36" i="3"/>
  <c r="S36" i="3"/>
  <c r="K36" i="3"/>
  <c r="Q36" i="3"/>
  <c r="I36" i="3"/>
  <c r="X36" i="3"/>
  <c r="T36" i="3"/>
  <c r="P36" i="3"/>
  <c r="L36" i="3"/>
  <c r="W36" i="3"/>
  <c r="O36" i="3"/>
  <c r="U36" i="3"/>
  <c r="M36" i="3"/>
  <c r="W42" i="3"/>
  <c r="V44" i="3"/>
  <c r="R44" i="3"/>
  <c r="N44" i="3"/>
  <c r="J44" i="3"/>
  <c r="S44" i="3"/>
  <c r="K44" i="3"/>
  <c r="Q44" i="3"/>
  <c r="I44" i="3"/>
  <c r="X44" i="3"/>
  <c r="T44" i="3"/>
  <c r="P44" i="3"/>
  <c r="L44" i="3"/>
  <c r="W44" i="3"/>
  <c r="O44" i="3"/>
  <c r="U44" i="3"/>
  <c r="M44" i="3"/>
  <c r="W50" i="3"/>
  <c r="U50" i="3"/>
  <c r="U52" i="3"/>
  <c r="Q52" i="3"/>
  <c r="M52" i="3"/>
  <c r="I52" i="3"/>
  <c r="T52" i="3"/>
  <c r="L52" i="3"/>
  <c r="R52" i="3"/>
  <c r="J52" i="3"/>
  <c r="W52" i="3"/>
  <c r="S52" i="3"/>
  <c r="O52" i="3"/>
  <c r="K52" i="3"/>
  <c r="X52" i="3"/>
  <c r="P52" i="3"/>
  <c r="V52" i="3"/>
  <c r="N52" i="3"/>
  <c r="V58" i="3"/>
  <c r="R58" i="3"/>
  <c r="U60" i="3"/>
  <c r="Q60" i="3"/>
  <c r="M60" i="3"/>
  <c r="I60" i="3"/>
  <c r="T60" i="3"/>
  <c r="L60" i="3"/>
  <c r="R60" i="3"/>
  <c r="J60" i="3"/>
  <c r="W60" i="3"/>
  <c r="S60" i="3"/>
  <c r="O60" i="3"/>
  <c r="K60" i="3"/>
  <c r="X60" i="3"/>
  <c r="P60" i="3"/>
  <c r="V60" i="3"/>
  <c r="N60" i="3"/>
  <c r="W66" i="3"/>
  <c r="X66" i="3"/>
  <c r="U66" i="3"/>
  <c r="T66" i="3"/>
  <c r="U68" i="3"/>
  <c r="Q68" i="3"/>
  <c r="M68" i="3"/>
  <c r="I68" i="3"/>
  <c r="T68" i="3"/>
  <c r="L68" i="3"/>
  <c r="R68" i="3"/>
  <c r="J68" i="3"/>
  <c r="W68" i="3"/>
  <c r="S68" i="3"/>
  <c r="O68" i="3"/>
  <c r="K68" i="3"/>
  <c r="X68" i="3"/>
  <c r="P68" i="3"/>
  <c r="V68" i="3"/>
  <c r="N68" i="3"/>
  <c r="W74" i="3"/>
  <c r="X74" i="3"/>
  <c r="U74" i="3"/>
  <c r="T74" i="3"/>
  <c r="U76" i="3"/>
  <c r="Q76" i="3"/>
  <c r="M76" i="3"/>
  <c r="I76" i="3"/>
  <c r="T76" i="3"/>
  <c r="L76" i="3"/>
  <c r="R76" i="3"/>
  <c r="J76" i="3"/>
  <c r="W76" i="3"/>
  <c r="S76" i="3"/>
  <c r="O76" i="3"/>
  <c r="K76" i="3"/>
  <c r="X76" i="3"/>
  <c r="P76" i="3"/>
  <c r="V76" i="3"/>
  <c r="N76" i="3"/>
  <c r="W82" i="3"/>
  <c r="U82" i="3"/>
  <c r="U84" i="3"/>
  <c r="Q84" i="3"/>
  <c r="M84" i="3"/>
  <c r="I84" i="3"/>
  <c r="R84" i="3"/>
  <c r="J84" i="3"/>
  <c r="P84" i="3"/>
  <c r="L84" i="3"/>
  <c r="W84" i="3"/>
  <c r="S84" i="3"/>
  <c r="O84" i="3"/>
  <c r="K84" i="3"/>
  <c r="V84" i="3"/>
  <c r="N84" i="3"/>
  <c r="X84" i="3"/>
  <c r="T84" i="3"/>
  <c r="W90" i="3"/>
  <c r="O90" i="3"/>
  <c r="V90" i="3"/>
  <c r="X90" i="3"/>
  <c r="U90" i="3"/>
  <c r="M90" i="3"/>
  <c r="R90" i="3"/>
  <c r="P90" i="3"/>
  <c r="V13" i="3"/>
  <c r="R13" i="3"/>
  <c r="N13" i="3"/>
  <c r="J13" i="3"/>
  <c r="S13" i="3"/>
  <c r="K13" i="3"/>
  <c r="Q13" i="3"/>
  <c r="I13" i="3"/>
  <c r="X13" i="3"/>
  <c r="T13" i="3"/>
  <c r="P13" i="3"/>
  <c r="L13" i="3"/>
  <c r="W13" i="3"/>
  <c r="O13" i="3"/>
  <c r="U13" i="3"/>
  <c r="M13" i="3"/>
  <c r="V17" i="3"/>
  <c r="R17" i="3"/>
  <c r="N17" i="3"/>
  <c r="J17" i="3"/>
  <c r="S17" i="3"/>
  <c r="K17" i="3"/>
  <c r="Q17" i="3"/>
  <c r="I17" i="3"/>
  <c r="X17" i="3"/>
  <c r="T17" i="3"/>
  <c r="P17" i="3"/>
  <c r="L17" i="3"/>
  <c r="W17" i="3"/>
  <c r="O17" i="3"/>
  <c r="U17" i="3"/>
  <c r="M17" i="3"/>
  <c r="V21" i="3"/>
  <c r="R21" i="3"/>
  <c r="N21" i="3"/>
  <c r="J21" i="3"/>
  <c r="S21" i="3"/>
  <c r="K21" i="3"/>
  <c r="Q21" i="3"/>
  <c r="I21" i="3"/>
  <c r="X21" i="3"/>
  <c r="T21" i="3"/>
  <c r="P21" i="3"/>
  <c r="L21" i="3"/>
  <c r="W21" i="3"/>
  <c r="O21" i="3"/>
  <c r="U21" i="3"/>
  <c r="M21" i="3"/>
  <c r="V25" i="3"/>
  <c r="R25" i="3"/>
  <c r="N25" i="3"/>
  <c r="J25" i="3"/>
  <c r="S25" i="3"/>
  <c r="K25" i="3"/>
  <c r="Q25" i="3"/>
  <c r="I25" i="3"/>
  <c r="X25" i="3"/>
  <c r="T25" i="3"/>
  <c r="P25" i="3"/>
  <c r="L25" i="3"/>
  <c r="W25" i="3"/>
  <c r="O25" i="3"/>
  <c r="U25" i="3"/>
  <c r="M25" i="3"/>
  <c r="V29" i="3"/>
  <c r="R29" i="3"/>
  <c r="N29" i="3"/>
  <c r="J29" i="3"/>
  <c r="S29" i="3"/>
  <c r="K29" i="3"/>
  <c r="Q29" i="3"/>
  <c r="I29" i="3"/>
  <c r="X29" i="3"/>
  <c r="T29" i="3"/>
  <c r="P29" i="3"/>
  <c r="L29" i="3"/>
  <c r="W29" i="3"/>
  <c r="O29" i="3"/>
  <c r="U29" i="3"/>
  <c r="M29" i="3"/>
  <c r="V33" i="3"/>
  <c r="R33" i="3"/>
  <c r="N33" i="3"/>
  <c r="J33" i="3"/>
  <c r="S33" i="3"/>
  <c r="K33" i="3"/>
  <c r="Q33" i="3"/>
  <c r="I33" i="3"/>
  <c r="X33" i="3"/>
  <c r="T33" i="3"/>
  <c r="P33" i="3"/>
  <c r="L33" i="3"/>
  <c r="W33" i="3"/>
  <c r="O33" i="3"/>
  <c r="U33" i="3"/>
  <c r="M33" i="3"/>
  <c r="V37" i="3"/>
  <c r="R37" i="3"/>
  <c r="N37" i="3"/>
  <c r="J37" i="3"/>
  <c r="S37" i="3"/>
  <c r="K37" i="3"/>
  <c r="Q37" i="3"/>
  <c r="I37" i="3"/>
  <c r="X37" i="3"/>
  <c r="T37" i="3"/>
  <c r="P37" i="3"/>
  <c r="L37" i="3"/>
  <c r="W37" i="3"/>
  <c r="O37" i="3"/>
  <c r="U37" i="3"/>
  <c r="M37" i="3"/>
  <c r="V41" i="3"/>
  <c r="R41" i="3"/>
  <c r="N41" i="3"/>
  <c r="J41" i="3"/>
  <c r="S41" i="3"/>
  <c r="K41" i="3"/>
  <c r="Q41" i="3"/>
  <c r="I41" i="3"/>
  <c r="X41" i="3"/>
  <c r="T41" i="3"/>
  <c r="P41" i="3"/>
  <c r="L41" i="3"/>
  <c r="W41" i="3"/>
  <c r="O41" i="3"/>
  <c r="U41" i="3"/>
  <c r="M41" i="3"/>
  <c r="V45" i="3"/>
  <c r="R45" i="3"/>
  <c r="N45" i="3"/>
  <c r="J45" i="3"/>
  <c r="S45" i="3"/>
  <c r="K45" i="3"/>
  <c r="Q45" i="3"/>
  <c r="I45" i="3"/>
  <c r="X45" i="3"/>
  <c r="T45" i="3"/>
  <c r="P45" i="3"/>
  <c r="L45" i="3"/>
  <c r="W45" i="3"/>
  <c r="O45" i="3"/>
  <c r="U45" i="3"/>
  <c r="M45" i="3"/>
  <c r="U49" i="3"/>
  <c r="Q49" i="3"/>
  <c r="M49" i="3"/>
  <c r="I49" i="3"/>
  <c r="T49" i="3"/>
  <c r="L49" i="3"/>
  <c r="R49" i="3"/>
  <c r="J49" i="3"/>
  <c r="W49" i="3"/>
  <c r="S49" i="3"/>
  <c r="O49" i="3"/>
  <c r="K49" i="3"/>
  <c r="X49" i="3"/>
  <c r="P49" i="3"/>
  <c r="V49" i="3"/>
  <c r="N49" i="3"/>
  <c r="U53" i="3"/>
  <c r="Q53" i="3"/>
  <c r="M53" i="3"/>
  <c r="I53" i="3"/>
  <c r="T53" i="3"/>
  <c r="L53" i="3"/>
  <c r="R53" i="3"/>
  <c r="J53" i="3"/>
  <c r="W53" i="3"/>
  <c r="S53" i="3"/>
  <c r="O53" i="3"/>
  <c r="K53" i="3"/>
  <c r="X53" i="3"/>
  <c r="P53" i="3"/>
  <c r="V53" i="3"/>
  <c r="N53" i="3"/>
  <c r="U57" i="3"/>
  <c r="Q57" i="3"/>
  <c r="M57" i="3"/>
  <c r="I57" i="3"/>
  <c r="T57" i="3"/>
  <c r="L57" i="3"/>
  <c r="R57" i="3"/>
  <c r="J57" i="3"/>
  <c r="W57" i="3"/>
  <c r="S57" i="3"/>
  <c r="O57" i="3"/>
  <c r="K57" i="3"/>
  <c r="X57" i="3"/>
  <c r="P57" i="3"/>
  <c r="V57" i="3"/>
  <c r="N57" i="3"/>
  <c r="U61" i="3"/>
  <c r="Q61" i="3"/>
  <c r="M61" i="3"/>
  <c r="I61" i="3"/>
  <c r="T61" i="3"/>
  <c r="L61" i="3"/>
  <c r="R61" i="3"/>
  <c r="J61" i="3"/>
  <c r="W61" i="3"/>
  <c r="S61" i="3"/>
  <c r="O61" i="3"/>
  <c r="K61" i="3"/>
  <c r="X61" i="3"/>
  <c r="P61" i="3"/>
  <c r="V61" i="3"/>
  <c r="N61" i="3"/>
  <c r="U65" i="3"/>
  <c r="Q65" i="3"/>
  <c r="M65" i="3"/>
  <c r="I65" i="3"/>
  <c r="T65" i="3"/>
  <c r="L65" i="3"/>
  <c r="R65" i="3"/>
  <c r="J65" i="3"/>
  <c r="W65" i="3"/>
  <c r="S65" i="3"/>
  <c r="O65" i="3"/>
  <c r="K65" i="3"/>
  <c r="X65" i="3"/>
  <c r="P65" i="3"/>
  <c r="V65" i="3"/>
  <c r="N65" i="3"/>
  <c r="U69" i="3"/>
  <c r="Q69" i="3"/>
  <c r="M69" i="3"/>
  <c r="I69" i="3"/>
  <c r="T69" i="3"/>
  <c r="L69" i="3"/>
  <c r="R69" i="3"/>
  <c r="J69" i="3"/>
  <c r="W69" i="3"/>
  <c r="S69" i="3"/>
  <c r="O69" i="3"/>
  <c r="K69" i="3"/>
  <c r="X69" i="3"/>
  <c r="P69" i="3"/>
  <c r="V69" i="3"/>
  <c r="N69" i="3"/>
  <c r="U73" i="3"/>
  <c r="Q73" i="3"/>
  <c r="M73" i="3"/>
  <c r="I73" i="3"/>
  <c r="T73" i="3"/>
  <c r="L73" i="3"/>
  <c r="R73" i="3"/>
  <c r="J73" i="3"/>
  <c r="W73" i="3"/>
  <c r="S73" i="3"/>
  <c r="O73" i="3"/>
  <c r="K73" i="3"/>
  <c r="X73" i="3"/>
  <c r="P73" i="3"/>
  <c r="V73" i="3"/>
  <c r="N73" i="3"/>
  <c r="U77" i="3"/>
  <c r="Q77" i="3"/>
  <c r="M77" i="3"/>
  <c r="I77" i="3"/>
  <c r="T77" i="3"/>
  <c r="L77" i="3"/>
  <c r="R77" i="3"/>
  <c r="J77" i="3"/>
  <c r="W77" i="3"/>
  <c r="S77" i="3"/>
  <c r="O77" i="3"/>
  <c r="K77" i="3"/>
  <c r="X77" i="3"/>
  <c r="P77" i="3"/>
  <c r="V77" i="3"/>
  <c r="N77" i="3"/>
  <c r="U81" i="3"/>
  <c r="Q81" i="3"/>
  <c r="M81" i="3"/>
  <c r="I81" i="3"/>
  <c r="R81" i="3"/>
  <c r="J81" i="3"/>
  <c r="P81" i="3"/>
  <c r="L81" i="3"/>
  <c r="W81" i="3"/>
  <c r="S81" i="3"/>
  <c r="O81" i="3"/>
  <c r="K81" i="3"/>
  <c r="V81" i="3"/>
  <c r="N81" i="3"/>
  <c r="X81" i="3"/>
  <c r="T81" i="3"/>
  <c r="U85" i="3"/>
  <c r="Q85" i="3"/>
  <c r="M85" i="3"/>
  <c r="I85" i="3"/>
  <c r="R85" i="3"/>
  <c r="J85" i="3"/>
  <c r="P85" i="3"/>
  <c r="L85" i="3"/>
  <c r="W85" i="3"/>
  <c r="S85" i="3"/>
  <c r="O85" i="3"/>
  <c r="K85" i="3"/>
  <c r="V85" i="3"/>
  <c r="N85" i="3"/>
  <c r="X85" i="3"/>
  <c r="T85" i="3"/>
  <c r="U89" i="3"/>
  <c r="Q89" i="3"/>
  <c r="M89" i="3"/>
  <c r="I89" i="3"/>
  <c r="R89" i="3"/>
  <c r="J89" i="3"/>
  <c r="P89" i="3"/>
  <c r="L89" i="3"/>
  <c r="W89" i="3"/>
  <c r="S89" i="3"/>
  <c r="O89" i="3"/>
  <c r="K89" i="3"/>
  <c r="V89" i="3"/>
  <c r="N89" i="3"/>
  <c r="X89" i="3"/>
  <c r="T89" i="3"/>
  <c r="V8" i="3"/>
  <c r="R8" i="3"/>
  <c r="N8" i="3"/>
  <c r="J8" i="3"/>
  <c r="S8" i="3"/>
  <c r="K8" i="3"/>
  <c r="Q8" i="3"/>
  <c r="I8" i="3"/>
  <c r="X8" i="3"/>
  <c r="T8" i="3"/>
  <c r="P8" i="3"/>
  <c r="L8" i="3"/>
  <c r="W8" i="3"/>
  <c r="O8" i="3"/>
  <c r="U8" i="3"/>
  <c r="M8" i="3"/>
  <c r="I10" i="3"/>
  <c r="C9" i="32"/>
  <c r="C16" i="32"/>
  <c r="C44" i="32"/>
  <c r="C68" i="32"/>
  <c r="C69" i="32" s="1"/>
  <c r="C70" i="32" s="1"/>
  <c r="C10" i="32"/>
  <c r="C12" i="32" s="1"/>
  <c r="C14" i="32" s="1"/>
  <c r="C17" i="32"/>
  <c r="C18" i="32" s="1"/>
  <c r="C19" i="32" s="1"/>
  <c r="C21" i="32"/>
  <c r="C35" i="32"/>
  <c r="C36" i="32" s="1"/>
  <c r="C45" i="32"/>
  <c r="C51" i="32"/>
  <c r="C52" i="32" s="1"/>
  <c r="C85" i="32"/>
  <c r="C86" i="32" s="1"/>
  <c r="A10" i="14"/>
  <c r="C79" i="34"/>
  <c r="C26" i="34"/>
  <c r="A21" i="9"/>
  <c r="A22" i="9" s="1"/>
  <c r="A11" i="3"/>
  <c r="A12" i="3" s="1"/>
  <c r="B8" i="32"/>
  <c r="B9" i="32" s="1"/>
  <c r="AF107" i="32"/>
  <c r="AD107" i="32"/>
  <c r="AO107" i="32"/>
  <c r="AE107" i="32"/>
  <c r="AA107" i="32"/>
  <c r="I107" i="32"/>
  <c r="K107" i="12"/>
  <c r="K26" i="21" s="1"/>
  <c r="AB107" i="32"/>
  <c r="AC107" i="32"/>
  <c r="K107" i="32"/>
  <c r="B9" i="12"/>
  <c r="B10" i="12" s="1"/>
  <c r="AP107" i="32"/>
  <c r="Z107" i="32"/>
  <c r="J107" i="32"/>
  <c r="H107" i="32"/>
  <c r="J107" i="12"/>
  <c r="J9" i="21" s="1"/>
  <c r="D6" i="21"/>
  <c r="G107" i="32"/>
  <c r="T58" i="3" l="1"/>
  <c r="X58" i="3"/>
  <c r="X42" i="3"/>
  <c r="X34" i="3"/>
  <c r="S26" i="3"/>
  <c r="V26" i="3"/>
  <c r="W26" i="3"/>
  <c r="X26" i="3"/>
  <c r="Q55" i="3"/>
  <c r="U54" i="3"/>
  <c r="U75" i="3"/>
  <c r="V11" i="3"/>
  <c r="J24" i="21"/>
  <c r="M58" i="3"/>
  <c r="O58" i="3"/>
  <c r="S42" i="3"/>
  <c r="S34" i="3"/>
  <c r="I26" i="3"/>
  <c r="J26" i="3"/>
  <c r="M26" i="3"/>
  <c r="L26" i="3"/>
  <c r="P55" i="3"/>
  <c r="J86" i="3"/>
  <c r="W54" i="3"/>
  <c r="W75" i="3"/>
  <c r="X11" i="3"/>
  <c r="U58" i="3"/>
  <c r="W58" i="3"/>
  <c r="V42" i="3"/>
  <c r="V34" i="3"/>
  <c r="Q26" i="3"/>
  <c r="N26" i="3"/>
  <c r="U26" i="3"/>
  <c r="S55" i="3"/>
  <c r="U86" i="3"/>
  <c r="I46" i="3"/>
  <c r="V22" i="3"/>
  <c r="J67" i="3"/>
  <c r="V43" i="3"/>
  <c r="Q10" i="3"/>
  <c r="L90" i="3"/>
  <c r="J90" i="3"/>
  <c r="I90" i="3"/>
  <c r="Q90" i="3"/>
  <c r="T90" i="3"/>
  <c r="N90" i="3"/>
  <c r="K90" i="3"/>
  <c r="R66" i="3"/>
  <c r="M66" i="3"/>
  <c r="V66" i="3"/>
  <c r="O66" i="3"/>
  <c r="J58" i="3"/>
  <c r="L58" i="3"/>
  <c r="I58" i="3"/>
  <c r="Q58" i="3"/>
  <c r="N58" i="3"/>
  <c r="P58" i="3"/>
  <c r="K58" i="3"/>
  <c r="Q42" i="3"/>
  <c r="N42" i="3"/>
  <c r="U42" i="3"/>
  <c r="P42" i="3"/>
  <c r="Q34" i="3"/>
  <c r="N34" i="3"/>
  <c r="U34" i="3"/>
  <c r="P34" i="3"/>
  <c r="L87" i="3"/>
  <c r="I87" i="3"/>
  <c r="T87" i="3"/>
  <c r="K87" i="3"/>
  <c r="J63" i="3"/>
  <c r="I63" i="3"/>
  <c r="N63" i="3"/>
  <c r="K63" i="3"/>
  <c r="J55" i="3"/>
  <c r="I55" i="3"/>
  <c r="N55" i="3"/>
  <c r="K55" i="3"/>
  <c r="I23" i="3"/>
  <c r="J23" i="3"/>
  <c r="M23" i="3"/>
  <c r="L23" i="3"/>
  <c r="I15" i="3"/>
  <c r="K15" i="3"/>
  <c r="J15" i="3"/>
  <c r="R15" i="3"/>
  <c r="M15" i="3"/>
  <c r="O15" i="3"/>
  <c r="L15" i="3"/>
  <c r="L86" i="3"/>
  <c r="I86" i="3"/>
  <c r="U70" i="3"/>
  <c r="T54" i="3"/>
  <c r="V38" i="3"/>
  <c r="S22" i="3"/>
  <c r="U91" i="3"/>
  <c r="T75" i="3"/>
  <c r="U59" i="3"/>
  <c r="S43" i="3"/>
  <c r="V27" i="3"/>
  <c r="S11" i="3"/>
  <c r="J10" i="3"/>
  <c r="R82" i="3"/>
  <c r="V82" i="3"/>
  <c r="R74" i="3"/>
  <c r="M74" i="3"/>
  <c r="V74" i="3"/>
  <c r="O74" i="3"/>
  <c r="T50" i="3"/>
  <c r="X50" i="3"/>
  <c r="S18" i="3"/>
  <c r="W18" i="3"/>
  <c r="R10" i="3"/>
  <c r="O10" i="3"/>
  <c r="T10" i="3"/>
  <c r="L79" i="3"/>
  <c r="Q79" i="3"/>
  <c r="P79" i="3"/>
  <c r="S79" i="3"/>
  <c r="I71" i="3"/>
  <c r="K71" i="3"/>
  <c r="J39" i="3"/>
  <c r="L39" i="3"/>
  <c r="K31" i="3"/>
  <c r="R31" i="3"/>
  <c r="O31" i="3"/>
  <c r="T31" i="3"/>
  <c r="N78" i="3"/>
  <c r="N62" i="3"/>
  <c r="K46" i="3"/>
  <c r="M30" i="3"/>
  <c r="M14" i="3"/>
  <c r="T83" i="3"/>
  <c r="N67" i="3"/>
  <c r="N51" i="3"/>
  <c r="M35" i="3"/>
  <c r="M19" i="3"/>
  <c r="K10" i="3"/>
  <c r="P82" i="3"/>
  <c r="M82" i="3"/>
  <c r="X82" i="3"/>
  <c r="O82" i="3"/>
  <c r="J74" i="3"/>
  <c r="L74" i="3"/>
  <c r="I74" i="3"/>
  <c r="Q74" i="3"/>
  <c r="N74" i="3"/>
  <c r="P74" i="3"/>
  <c r="K74" i="3"/>
  <c r="R50" i="3"/>
  <c r="M50" i="3"/>
  <c r="V50" i="3"/>
  <c r="O50" i="3"/>
  <c r="Q18" i="3"/>
  <c r="N18" i="3"/>
  <c r="U18" i="3"/>
  <c r="P18" i="3"/>
  <c r="N10" i="3"/>
  <c r="V10" i="3"/>
  <c r="U10" i="3"/>
  <c r="W10" i="3"/>
  <c r="P10" i="3"/>
  <c r="X10" i="3"/>
  <c r="R79" i="3"/>
  <c r="T79" i="3"/>
  <c r="M79" i="3"/>
  <c r="U79" i="3"/>
  <c r="V79" i="3"/>
  <c r="X79" i="3"/>
  <c r="O79" i="3"/>
  <c r="L71" i="3"/>
  <c r="Q71" i="3"/>
  <c r="P71" i="3"/>
  <c r="S71" i="3"/>
  <c r="K39" i="3"/>
  <c r="R39" i="3"/>
  <c r="O39" i="3"/>
  <c r="T39" i="3"/>
  <c r="Q31" i="3"/>
  <c r="S31" i="3"/>
  <c r="N31" i="3"/>
  <c r="V31" i="3"/>
  <c r="U31" i="3"/>
  <c r="W31" i="3"/>
  <c r="P31" i="3"/>
  <c r="I78" i="3"/>
  <c r="K78" i="3"/>
  <c r="I62" i="3"/>
  <c r="K62" i="3"/>
  <c r="J46" i="3"/>
  <c r="L46" i="3"/>
  <c r="J30" i="3"/>
  <c r="L30" i="3"/>
  <c r="J14" i="3"/>
  <c r="L14" i="3"/>
  <c r="I83" i="3"/>
  <c r="K83" i="3"/>
  <c r="I67" i="3"/>
  <c r="K67" i="3"/>
  <c r="I51" i="3"/>
  <c r="K51" i="3"/>
  <c r="J35" i="3"/>
  <c r="L35" i="3"/>
  <c r="J19" i="3"/>
  <c r="L19" i="3"/>
  <c r="S86" i="3"/>
  <c r="K86" i="3"/>
  <c r="N86" i="3"/>
  <c r="T86" i="3"/>
  <c r="Q86" i="3"/>
  <c r="S70" i="3"/>
  <c r="K70" i="3"/>
  <c r="P70" i="3"/>
  <c r="N70" i="3"/>
  <c r="Q70" i="3"/>
  <c r="I70" i="3"/>
  <c r="L70" i="3"/>
  <c r="J70" i="3"/>
  <c r="S54" i="3"/>
  <c r="K54" i="3"/>
  <c r="P54" i="3"/>
  <c r="N54" i="3"/>
  <c r="Q54" i="3"/>
  <c r="I54" i="3"/>
  <c r="L54" i="3"/>
  <c r="J54" i="3"/>
  <c r="T38" i="3"/>
  <c r="L38" i="3"/>
  <c r="O38" i="3"/>
  <c r="M38" i="3"/>
  <c r="R38" i="3"/>
  <c r="J38" i="3"/>
  <c r="K38" i="3"/>
  <c r="I38" i="3"/>
  <c r="T22" i="3"/>
  <c r="L22" i="3"/>
  <c r="O22" i="3"/>
  <c r="M22" i="3"/>
  <c r="R22" i="3"/>
  <c r="J22" i="3"/>
  <c r="K22" i="3"/>
  <c r="I22" i="3"/>
  <c r="S91" i="3"/>
  <c r="K91" i="3"/>
  <c r="N91" i="3"/>
  <c r="T91" i="3"/>
  <c r="Q91" i="3"/>
  <c r="I91" i="3"/>
  <c r="J91" i="3"/>
  <c r="L91" i="3"/>
  <c r="S75" i="3"/>
  <c r="K75" i="3"/>
  <c r="P75" i="3"/>
  <c r="N75" i="3"/>
  <c r="Q75" i="3"/>
  <c r="I75" i="3"/>
  <c r="L75" i="3"/>
  <c r="J75" i="3"/>
  <c r="S59" i="3"/>
  <c r="K59" i="3"/>
  <c r="P59" i="3"/>
  <c r="N59" i="3"/>
  <c r="Q59" i="3"/>
  <c r="I59" i="3"/>
  <c r="L59" i="3"/>
  <c r="J59" i="3"/>
  <c r="T43" i="3"/>
  <c r="L43" i="3"/>
  <c r="O43" i="3"/>
  <c r="M43" i="3"/>
  <c r="R43" i="3"/>
  <c r="J43" i="3"/>
  <c r="K43" i="3"/>
  <c r="I43" i="3"/>
  <c r="T27" i="3"/>
  <c r="L27" i="3"/>
  <c r="O27" i="3"/>
  <c r="M27" i="3"/>
  <c r="R27" i="3"/>
  <c r="J27" i="3"/>
  <c r="K27" i="3"/>
  <c r="I27" i="3"/>
  <c r="T11" i="3"/>
  <c r="L11" i="3"/>
  <c r="O11" i="3"/>
  <c r="M11" i="3"/>
  <c r="R11" i="3"/>
  <c r="J11" i="3"/>
  <c r="K11" i="3"/>
  <c r="I11" i="3"/>
  <c r="J66" i="3"/>
  <c r="L66" i="3"/>
  <c r="I66" i="3"/>
  <c r="Q66" i="3"/>
  <c r="N66" i="3"/>
  <c r="P66" i="3"/>
  <c r="K66" i="3"/>
  <c r="I42" i="3"/>
  <c r="K42" i="3"/>
  <c r="J42" i="3"/>
  <c r="R42" i="3"/>
  <c r="M42" i="3"/>
  <c r="O42" i="3"/>
  <c r="L42" i="3"/>
  <c r="I34" i="3"/>
  <c r="K34" i="3"/>
  <c r="J34" i="3"/>
  <c r="R34" i="3"/>
  <c r="M34" i="3"/>
  <c r="O34" i="3"/>
  <c r="L34" i="3"/>
  <c r="P87" i="3"/>
  <c r="R87" i="3"/>
  <c r="M87" i="3"/>
  <c r="U87" i="3"/>
  <c r="X87" i="3"/>
  <c r="V87" i="3"/>
  <c r="O87" i="3"/>
  <c r="R63" i="3"/>
  <c r="T63" i="3"/>
  <c r="M63" i="3"/>
  <c r="U63" i="3"/>
  <c r="V63" i="3"/>
  <c r="X63" i="3"/>
  <c r="O63" i="3"/>
  <c r="R55" i="3"/>
  <c r="T55" i="3"/>
  <c r="M55" i="3"/>
  <c r="U55" i="3"/>
  <c r="V55" i="3"/>
  <c r="X55" i="3"/>
  <c r="O55" i="3"/>
  <c r="Q23" i="3"/>
  <c r="S23" i="3"/>
  <c r="N23" i="3"/>
  <c r="V23" i="3"/>
  <c r="U23" i="3"/>
  <c r="W23" i="3"/>
  <c r="P23" i="3"/>
  <c r="P86" i="3"/>
  <c r="R86" i="3"/>
  <c r="M86" i="3"/>
  <c r="X86" i="3"/>
  <c r="O86" i="3"/>
  <c r="R70" i="3"/>
  <c r="M70" i="3"/>
  <c r="V70" i="3"/>
  <c r="O70" i="3"/>
  <c r="R54" i="3"/>
  <c r="M54" i="3"/>
  <c r="V54" i="3"/>
  <c r="O54" i="3"/>
  <c r="Q38" i="3"/>
  <c r="N38" i="3"/>
  <c r="U38" i="3"/>
  <c r="P38" i="3"/>
  <c r="Q22" i="3"/>
  <c r="N22" i="3"/>
  <c r="U22" i="3"/>
  <c r="P22" i="3"/>
  <c r="P91" i="3"/>
  <c r="M91" i="3"/>
  <c r="X91" i="3"/>
  <c r="O91" i="3"/>
  <c r="R75" i="3"/>
  <c r="M75" i="3"/>
  <c r="V75" i="3"/>
  <c r="O75" i="3"/>
  <c r="R59" i="3"/>
  <c r="M59" i="3"/>
  <c r="V59" i="3"/>
  <c r="O59" i="3"/>
  <c r="Q43" i="3"/>
  <c r="N43" i="3"/>
  <c r="U43" i="3"/>
  <c r="P43" i="3"/>
  <c r="Q27" i="3"/>
  <c r="N27" i="3"/>
  <c r="U27" i="3"/>
  <c r="P27" i="3"/>
  <c r="Q11" i="3"/>
  <c r="N11" i="3"/>
  <c r="U11" i="3"/>
  <c r="P11" i="3"/>
  <c r="L82" i="3"/>
  <c r="J82" i="3"/>
  <c r="I82" i="3"/>
  <c r="Q82" i="3"/>
  <c r="T82" i="3"/>
  <c r="N82" i="3"/>
  <c r="K82" i="3"/>
  <c r="J50" i="3"/>
  <c r="L50" i="3"/>
  <c r="I50" i="3"/>
  <c r="Q50" i="3"/>
  <c r="N50" i="3"/>
  <c r="P50" i="3"/>
  <c r="K50" i="3"/>
  <c r="I18" i="3"/>
  <c r="K18" i="3"/>
  <c r="J18" i="3"/>
  <c r="R18" i="3"/>
  <c r="M18" i="3"/>
  <c r="O18" i="3"/>
  <c r="L18" i="3"/>
  <c r="R71" i="3"/>
  <c r="T71" i="3"/>
  <c r="M71" i="3"/>
  <c r="U71" i="3"/>
  <c r="V71" i="3"/>
  <c r="X71" i="3"/>
  <c r="O71" i="3"/>
  <c r="Q39" i="3"/>
  <c r="S39" i="3"/>
  <c r="N39" i="3"/>
  <c r="V39" i="3"/>
  <c r="U39" i="3"/>
  <c r="W39" i="3"/>
  <c r="P39" i="3"/>
  <c r="L78" i="3"/>
  <c r="Q78" i="3"/>
  <c r="P78" i="3"/>
  <c r="S78" i="3"/>
  <c r="L62" i="3"/>
  <c r="Q62" i="3"/>
  <c r="P62" i="3"/>
  <c r="S62" i="3"/>
  <c r="Q46" i="3"/>
  <c r="R46" i="3"/>
  <c r="S46" i="3"/>
  <c r="T46" i="3"/>
  <c r="K30" i="3"/>
  <c r="R30" i="3"/>
  <c r="O30" i="3"/>
  <c r="T30" i="3"/>
  <c r="K14" i="3"/>
  <c r="R14" i="3"/>
  <c r="O14" i="3"/>
  <c r="T14" i="3"/>
  <c r="J83" i="3"/>
  <c r="Q83" i="3"/>
  <c r="N83" i="3"/>
  <c r="S83" i="3"/>
  <c r="L67" i="3"/>
  <c r="Q67" i="3"/>
  <c r="P67" i="3"/>
  <c r="S67" i="3"/>
  <c r="L51" i="3"/>
  <c r="Q51" i="3"/>
  <c r="P51" i="3"/>
  <c r="S51" i="3"/>
  <c r="K35" i="3"/>
  <c r="R35" i="3"/>
  <c r="O35" i="3"/>
  <c r="T35" i="3"/>
  <c r="K19" i="3"/>
  <c r="R19" i="3"/>
  <c r="O19" i="3"/>
  <c r="T19" i="3"/>
  <c r="R78" i="3"/>
  <c r="T78" i="3"/>
  <c r="M78" i="3"/>
  <c r="U78" i="3"/>
  <c r="V78" i="3"/>
  <c r="X78" i="3"/>
  <c r="O78" i="3"/>
  <c r="R62" i="3"/>
  <c r="T62" i="3"/>
  <c r="M62" i="3"/>
  <c r="U62" i="3"/>
  <c r="V62" i="3"/>
  <c r="X62" i="3"/>
  <c r="O62" i="3"/>
  <c r="M46" i="3"/>
  <c r="U46" i="3"/>
  <c r="N46" i="3"/>
  <c r="V46" i="3"/>
  <c r="O46" i="3"/>
  <c r="W46" i="3"/>
  <c r="P46" i="3"/>
  <c r="Q30" i="3"/>
  <c r="S30" i="3"/>
  <c r="N30" i="3"/>
  <c r="V30" i="3"/>
  <c r="U30" i="3"/>
  <c r="W30" i="3"/>
  <c r="P30" i="3"/>
  <c r="Q14" i="3"/>
  <c r="S14" i="3"/>
  <c r="N14" i="3"/>
  <c r="V14" i="3"/>
  <c r="U14" i="3"/>
  <c r="W14" i="3"/>
  <c r="P14" i="3"/>
  <c r="P83" i="3"/>
  <c r="R83" i="3"/>
  <c r="M83" i="3"/>
  <c r="U83" i="3"/>
  <c r="X83" i="3"/>
  <c r="V83" i="3"/>
  <c r="O83" i="3"/>
  <c r="R67" i="3"/>
  <c r="T67" i="3"/>
  <c r="M67" i="3"/>
  <c r="U67" i="3"/>
  <c r="V67" i="3"/>
  <c r="X67" i="3"/>
  <c r="O67" i="3"/>
  <c r="R51" i="3"/>
  <c r="T51" i="3"/>
  <c r="M51" i="3"/>
  <c r="U51" i="3"/>
  <c r="V51" i="3"/>
  <c r="X51" i="3"/>
  <c r="O51" i="3"/>
  <c r="Q35" i="3"/>
  <c r="S35" i="3"/>
  <c r="N35" i="3"/>
  <c r="V35" i="3"/>
  <c r="U35" i="3"/>
  <c r="W35" i="3"/>
  <c r="P35" i="3"/>
  <c r="Q19" i="3"/>
  <c r="S19" i="3"/>
  <c r="N19" i="3"/>
  <c r="V19" i="3"/>
  <c r="U19" i="3"/>
  <c r="W19" i="3"/>
  <c r="P19" i="3"/>
  <c r="D20" i="21"/>
  <c r="J8" i="21"/>
  <c r="J10" i="21"/>
  <c r="C87" i="32"/>
  <c r="C53" i="32"/>
  <c r="C37" i="32"/>
  <c r="C38" i="32" s="1"/>
  <c r="C39" i="32" s="1"/>
  <c r="C40" i="32" s="1"/>
  <c r="C41" i="32" s="1"/>
  <c r="C42" i="32" s="1"/>
  <c r="A11" i="14"/>
  <c r="A12" i="14" s="1"/>
  <c r="A13" i="14" s="1"/>
  <c r="C88" i="32"/>
  <c r="C89" i="32" s="1"/>
  <c r="C90" i="32" s="1"/>
  <c r="C91" i="32" s="1"/>
  <c r="C54" i="32"/>
  <c r="C46" i="32"/>
  <c r="C22" i="32"/>
  <c r="C71" i="32"/>
  <c r="C27" i="34"/>
  <c r="C28" i="34" s="1"/>
  <c r="C29" i="34" s="1"/>
  <c r="C30" i="34" s="1"/>
  <c r="A23" i="9"/>
  <c r="A13" i="3"/>
  <c r="D22" i="21"/>
  <c r="E21" i="21"/>
  <c r="K24" i="21"/>
  <c r="L24" i="21" s="1"/>
  <c r="E10" i="21"/>
  <c r="K10" i="21"/>
  <c r="E13" i="21"/>
  <c r="E18" i="21"/>
  <c r="K6" i="21"/>
  <c r="K14" i="21"/>
  <c r="D12" i="21"/>
  <c r="J16" i="21"/>
  <c r="J27" i="21"/>
  <c r="D14" i="21"/>
  <c r="J18" i="21"/>
  <c r="J28" i="21"/>
  <c r="E5" i="21"/>
  <c r="E17" i="21"/>
  <c r="E9" i="21"/>
  <c r="E22" i="21"/>
  <c r="E14" i="21"/>
  <c r="E6" i="21"/>
  <c r="K8" i="21"/>
  <c r="K12" i="21"/>
  <c r="K16" i="21"/>
  <c r="E23" i="21"/>
  <c r="E19" i="21"/>
  <c r="E15" i="21"/>
  <c r="E11" i="21"/>
  <c r="E7" i="21"/>
  <c r="E24" i="21"/>
  <c r="E20" i="21"/>
  <c r="E16" i="21"/>
  <c r="E12" i="21"/>
  <c r="E8" i="21"/>
  <c r="K5" i="21"/>
  <c r="K7" i="21"/>
  <c r="K9" i="21"/>
  <c r="L9" i="21" s="1"/>
  <c r="K11" i="21"/>
  <c r="K13" i="21"/>
  <c r="K15" i="21"/>
  <c r="K17" i="21"/>
  <c r="K18" i="21"/>
  <c r="L18" i="21" s="1"/>
  <c r="K22" i="21"/>
  <c r="K27" i="21"/>
  <c r="L27" i="21" s="1"/>
  <c r="K20" i="21"/>
  <c r="K29" i="21"/>
  <c r="K25" i="21"/>
  <c r="D19" i="21"/>
  <c r="D11" i="21"/>
  <c r="J23" i="21"/>
  <c r="J15" i="21"/>
  <c r="J11" i="21"/>
  <c r="J7" i="21"/>
  <c r="D23" i="21"/>
  <c r="D15" i="21"/>
  <c r="D7" i="21"/>
  <c r="J19" i="21"/>
  <c r="D24" i="21"/>
  <c r="D16" i="21"/>
  <c r="D8" i="21"/>
  <c r="J20" i="21"/>
  <c r="J12" i="21"/>
  <c r="J29" i="21"/>
  <c r="J25" i="21"/>
  <c r="D18" i="21"/>
  <c r="D10" i="21"/>
  <c r="J22" i="21"/>
  <c r="L22" i="21" s="1"/>
  <c r="J14" i="21"/>
  <c r="J6" i="21"/>
  <c r="J26" i="21"/>
  <c r="L26" i="21" s="1"/>
  <c r="D5" i="21"/>
  <c r="D21" i="21"/>
  <c r="D17" i="21"/>
  <c r="D13" i="21"/>
  <c r="D9" i="21"/>
  <c r="J5" i="21"/>
  <c r="J21" i="21"/>
  <c r="J17" i="21"/>
  <c r="J13" i="21"/>
  <c r="L13" i="21" s="1"/>
  <c r="K19" i="21"/>
  <c r="K21" i="21"/>
  <c r="K23" i="21"/>
  <c r="K28" i="21"/>
  <c r="B11" i="12"/>
  <c r="B10" i="32"/>
  <c r="L10" i="21" l="1"/>
  <c r="L8" i="21"/>
  <c r="A14" i="14"/>
  <c r="A15" i="14" s="1"/>
  <c r="A16" i="14" s="1"/>
  <c r="C55" i="32"/>
  <c r="C23" i="32"/>
  <c r="C72" i="32"/>
  <c r="C47" i="32"/>
  <c r="C48" i="32" s="1"/>
  <c r="A24" i="9"/>
  <c r="A14" i="3"/>
  <c r="A15" i="3" s="1"/>
  <c r="A16" i="3" s="1"/>
  <c r="L20" i="21"/>
  <c r="L16" i="21"/>
  <c r="L6" i="21"/>
  <c r="L14" i="21"/>
  <c r="L12" i="21"/>
  <c r="L11" i="21"/>
  <c r="L28" i="21"/>
  <c r="L29" i="21"/>
  <c r="L7" i="21"/>
  <c r="L15" i="21"/>
  <c r="E30" i="21"/>
  <c r="L17" i="21"/>
  <c r="L25" i="21"/>
  <c r="K30" i="21"/>
  <c r="J30" i="21"/>
  <c r="L5" i="21"/>
  <c r="L23" i="21"/>
  <c r="B12" i="12"/>
  <c r="B13" i="12" s="1"/>
  <c r="L21" i="21"/>
  <c r="D30" i="21"/>
  <c r="L19" i="21"/>
  <c r="B11" i="32"/>
  <c r="C106" i="29"/>
  <c r="C105" i="29"/>
  <c r="C104" i="29"/>
  <c r="C103" i="29"/>
  <c r="C102" i="29"/>
  <c r="C101" i="29"/>
  <c r="C100" i="29"/>
  <c r="C99" i="29"/>
  <c r="C98" i="29"/>
  <c r="C97" i="29"/>
  <c r="C96" i="29"/>
  <c r="C95" i="29"/>
  <c r="C94" i="29"/>
  <c r="C93" i="29"/>
  <c r="C92" i="29"/>
  <c r="C84" i="12"/>
  <c r="C67" i="12"/>
  <c r="C50" i="12"/>
  <c r="C43" i="12"/>
  <c r="C34" i="12"/>
  <c r="B109" i="29"/>
  <c r="E106" i="26"/>
  <c r="D106" i="26"/>
  <c r="E105" i="26"/>
  <c r="D105" i="26"/>
  <c r="E104" i="26"/>
  <c r="B104" i="26" s="1"/>
  <c r="D104" i="26"/>
  <c r="E103" i="26"/>
  <c r="B103" i="26" s="1"/>
  <c r="D103" i="26"/>
  <c r="E102" i="26"/>
  <c r="B102" i="26" s="1"/>
  <c r="D102" i="26"/>
  <c r="E101" i="26"/>
  <c r="B101" i="26" s="1"/>
  <c r="D101" i="26"/>
  <c r="E100" i="26"/>
  <c r="B100" i="26" s="1"/>
  <c r="D100" i="26"/>
  <c r="E99" i="26"/>
  <c r="B99" i="26" s="1"/>
  <c r="D99" i="26"/>
  <c r="E98" i="26"/>
  <c r="B98" i="26" s="1"/>
  <c r="D98" i="26"/>
  <c r="E97" i="26"/>
  <c r="B97" i="26" s="1"/>
  <c r="D97" i="26"/>
  <c r="E96" i="26"/>
  <c r="B96" i="26" s="1"/>
  <c r="D96" i="26"/>
  <c r="D96" i="29" s="1"/>
  <c r="E95" i="26"/>
  <c r="B95" i="26" s="1"/>
  <c r="D95" i="26"/>
  <c r="D95" i="29" s="1"/>
  <c r="E94" i="26"/>
  <c r="B94" i="26" s="1"/>
  <c r="D94" i="26"/>
  <c r="D94" i="29" s="1"/>
  <c r="E93" i="26"/>
  <c r="B93" i="26" s="1"/>
  <c r="D93" i="26"/>
  <c r="D93" i="29" s="1"/>
  <c r="E92" i="26"/>
  <c r="B92" i="26" s="1"/>
  <c r="D92" i="26"/>
  <c r="D92" i="29" s="1"/>
  <c r="E91" i="26"/>
  <c r="D91" i="26"/>
  <c r="D91" i="29" s="1"/>
  <c r="E90" i="26"/>
  <c r="D90" i="26"/>
  <c r="D90" i="29" s="1"/>
  <c r="E89" i="26"/>
  <c r="D89" i="26"/>
  <c r="D89" i="29" s="1"/>
  <c r="E88" i="26"/>
  <c r="D88" i="26"/>
  <c r="D88" i="29" s="1"/>
  <c r="E87" i="26"/>
  <c r="D87" i="26"/>
  <c r="D87" i="29" s="1"/>
  <c r="E86" i="26"/>
  <c r="D86" i="26"/>
  <c r="D86" i="29" s="1"/>
  <c r="E85" i="26"/>
  <c r="D85" i="26"/>
  <c r="D85" i="29" s="1"/>
  <c r="E84" i="26"/>
  <c r="D84" i="26"/>
  <c r="D84" i="29" s="1"/>
  <c r="E83" i="26"/>
  <c r="D83" i="26"/>
  <c r="D83" i="29" s="1"/>
  <c r="E82" i="26"/>
  <c r="D82" i="26"/>
  <c r="D82" i="29" s="1"/>
  <c r="E81" i="26"/>
  <c r="D81" i="26"/>
  <c r="D81" i="29" s="1"/>
  <c r="E80" i="26"/>
  <c r="D80" i="26"/>
  <c r="D80" i="29" s="1"/>
  <c r="E79" i="26"/>
  <c r="D79" i="26"/>
  <c r="D79" i="29" s="1"/>
  <c r="E78" i="26"/>
  <c r="D78" i="26"/>
  <c r="D78" i="29" s="1"/>
  <c r="E77" i="26"/>
  <c r="D77" i="26"/>
  <c r="D77" i="29" s="1"/>
  <c r="E76" i="26"/>
  <c r="D76" i="26"/>
  <c r="D76" i="29" s="1"/>
  <c r="E75" i="26"/>
  <c r="D75" i="26"/>
  <c r="D75" i="29" s="1"/>
  <c r="E74" i="26"/>
  <c r="D74" i="26"/>
  <c r="D74" i="29" s="1"/>
  <c r="E73" i="26"/>
  <c r="D73" i="26"/>
  <c r="D73" i="29" s="1"/>
  <c r="E72" i="26"/>
  <c r="D72" i="26"/>
  <c r="D72" i="29" s="1"/>
  <c r="E71" i="26"/>
  <c r="D71" i="26"/>
  <c r="D71" i="29" s="1"/>
  <c r="E70" i="26"/>
  <c r="D70" i="26"/>
  <c r="D70" i="29" s="1"/>
  <c r="E69" i="26"/>
  <c r="D69" i="26"/>
  <c r="D69" i="29" s="1"/>
  <c r="E68" i="26"/>
  <c r="D68" i="26"/>
  <c r="D68" i="29" s="1"/>
  <c r="E67" i="26"/>
  <c r="C67" i="26" s="1"/>
  <c r="C67" i="29" s="1"/>
  <c r="D67" i="26"/>
  <c r="D67" i="29" s="1"/>
  <c r="E66" i="26"/>
  <c r="D66" i="26"/>
  <c r="D66" i="29" s="1"/>
  <c r="E65" i="26"/>
  <c r="D65" i="26"/>
  <c r="D65" i="29" s="1"/>
  <c r="E64" i="26"/>
  <c r="D64" i="26"/>
  <c r="D64" i="29" s="1"/>
  <c r="E63" i="26"/>
  <c r="D63" i="26"/>
  <c r="D63" i="29" s="1"/>
  <c r="E62" i="26"/>
  <c r="D62" i="26"/>
  <c r="D62" i="29" s="1"/>
  <c r="E61" i="26"/>
  <c r="D61" i="26"/>
  <c r="D61" i="29" s="1"/>
  <c r="E60" i="26"/>
  <c r="D60" i="26"/>
  <c r="D60" i="29" s="1"/>
  <c r="E59" i="26"/>
  <c r="D59" i="26"/>
  <c r="D59" i="29" s="1"/>
  <c r="E58" i="26"/>
  <c r="D58" i="26"/>
  <c r="D58" i="29" s="1"/>
  <c r="E57" i="26"/>
  <c r="D57" i="26"/>
  <c r="D57" i="29" s="1"/>
  <c r="E56" i="26"/>
  <c r="D56" i="26"/>
  <c r="D56" i="29" s="1"/>
  <c r="E55" i="26"/>
  <c r="D55" i="26"/>
  <c r="D55" i="29" s="1"/>
  <c r="E54" i="26"/>
  <c r="D54" i="26"/>
  <c r="D54" i="29" s="1"/>
  <c r="E53" i="26"/>
  <c r="D53" i="26"/>
  <c r="D53" i="29" s="1"/>
  <c r="E52" i="26"/>
  <c r="D52" i="26"/>
  <c r="D52" i="29" s="1"/>
  <c r="E51" i="26"/>
  <c r="D51" i="26"/>
  <c r="D51" i="29" s="1"/>
  <c r="E50" i="26"/>
  <c r="C50" i="26" s="1"/>
  <c r="C50" i="29" s="1"/>
  <c r="D50" i="26"/>
  <c r="D50" i="29" s="1"/>
  <c r="E49" i="26"/>
  <c r="D49" i="26"/>
  <c r="D49" i="29" s="1"/>
  <c r="E48" i="26"/>
  <c r="D48" i="26"/>
  <c r="D48" i="29" s="1"/>
  <c r="E47" i="26"/>
  <c r="D47" i="26"/>
  <c r="D47" i="29" s="1"/>
  <c r="E46" i="26"/>
  <c r="D46" i="26"/>
  <c r="D46" i="29" s="1"/>
  <c r="E45" i="26"/>
  <c r="D45" i="26"/>
  <c r="D45" i="29" s="1"/>
  <c r="E44" i="26"/>
  <c r="D44" i="26"/>
  <c r="D44" i="29" s="1"/>
  <c r="E43" i="26"/>
  <c r="C43" i="26" s="1"/>
  <c r="C43" i="29" s="1"/>
  <c r="D43" i="26"/>
  <c r="D43" i="29" s="1"/>
  <c r="E42" i="26"/>
  <c r="D42" i="26"/>
  <c r="D42" i="29" s="1"/>
  <c r="E41" i="26"/>
  <c r="D41" i="26"/>
  <c r="D41" i="29" s="1"/>
  <c r="E40" i="26"/>
  <c r="D40" i="26"/>
  <c r="D40" i="29" s="1"/>
  <c r="E39" i="26"/>
  <c r="D39" i="26"/>
  <c r="D39" i="29" s="1"/>
  <c r="E38" i="26"/>
  <c r="D38" i="26"/>
  <c r="D38" i="29" s="1"/>
  <c r="E37" i="26"/>
  <c r="D37" i="26"/>
  <c r="D37" i="29" s="1"/>
  <c r="E36" i="26"/>
  <c r="D36" i="26"/>
  <c r="D36" i="29" s="1"/>
  <c r="E35" i="26"/>
  <c r="D35" i="26"/>
  <c r="D35" i="29" s="1"/>
  <c r="E34" i="26"/>
  <c r="C34" i="26" s="1"/>
  <c r="D34" i="26"/>
  <c r="D34" i="29" s="1"/>
  <c r="E33" i="26"/>
  <c r="D33" i="26"/>
  <c r="D33" i="29" s="1"/>
  <c r="E32" i="26"/>
  <c r="D32" i="26"/>
  <c r="D32" i="29" s="1"/>
  <c r="E31" i="26"/>
  <c r="D31" i="26"/>
  <c r="D31" i="29" s="1"/>
  <c r="E30" i="26"/>
  <c r="D30" i="26"/>
  <c r="D30" i="29" s="1"/>
  <c r="E29" i="26"/>
  <c r="D29" i="26"/>
  <c r="D29" i="29" s="1"/>
  <c r="E28" i="26"/>
  <c r="D28" i="26"/>
  <c r="D28" i="29" s="1"/>
  <c r="E27" i="26"/>
  <c r="D27" i="26"/>
  <c r="D27" i="29" s="1"/>
  <c r="E26" i="26"/>
  <c r="D26" i="26"/>
  <c r="D26" i="29" s="1"/>
  <c r="E25" i="26"/>
  <c r="D25" i="26"/>
  <c r="D25" i="29" s="1"/>
  <c r="E24" i="26"/>
  <c r="D24" i="26"/>
  <c r="D24" i="29" s="1"/>
  <c r="E23" i="26"/>
  <c r="D23" i="26"/>
  <c r="D23" i="29" s="1"/>
  <c r="E22" i="26"/>
  <c r="D22" i="26"/>
  <c r="D22" i="29" s="1"/>
  <c r="E21" i="26"/>
  <c r="D21" i="26"/>
  <c r="D21" i="29" s="1"/>
  <c r="E20" i="26"/>
  <c r="D20" i="26"/>
  <c r="D20" i="29" s="1"/>
  <c r="E19" i="26"/>
  <c r="D19" i="26"/>
  <c r="D19" i="29" s="1"/>
  <c r="E18" i="26"/>
  <c r="D18" i="26"/>
  <c r="D18" i="29" s="1"/>
  <c r="E17" i="26"/>
  <c r="D17" i="26"/>
  <c r="D17" i="29" s="1"/>
  <c r="E16" i="26"/>
  <c r="D16" i="26"/>
  <c r="D16" i="29" s="1"/>
  <c r="E15" i="26"/>
  <c r="D15" i="26"/>
  <c r="D15" i="29" s="1"/>
  <c r="E14" i="26"/>
  <c r="D14" i="26"/>
  <c r="D14" i="29" s="1"/>
  <c r="E13" i="26"/>
  <c r="D13" i="26"/>
  <c r="D13" i="29" s="1"/>
  <c r="E12" i="26"/>
  <c r="D12" i="26"/>
  <c r="D12" i="29" s="1"/>
  <c r="E11" i="26"/>
  <c r="D11" i="26"/>
  <c r="D11" i="29" s="1"/>
  <c r="E10" i="26"/>
  <c r="D10" i="26"/>
  <c r="D10" i="29" s="1"/>
  <c r="E9" i="26"/>
  <c r="D9" i="26"/>
  <c r="D9" i="29" s="1"/>
  <c r="D8" i="26"/>
  <c r="D8" i="29" s="1"/>
  <c r="E8" i="26"/>
  <c r="B109" i="26"/>
  <c r="C56" i="32" l="1"/>
  <c r="C57" i="32" s="1"/>
  <c r="A17" i="14"/>
  <c r="C24" i="32"/>
  <c r="C25" i="32" s="1"/>
  <c r="C73" i="32"/>
  <c r="C74" i="32" s="1"/>
  <c r="C75" i="32" s="1"/>
  <c r="C76" i="32" s="1"/>
  <c r="C77" i="32" s="1"/>
  <c r="C78" i="32" s="1"/>
  <c r="C79" i="32" s="1"/>
  <c r="C80" i="32" s="1"/>
  <c r="C81" i="32" s="1"/>
  <c r="A25" i="9"/>
  <c r="A17" i="3"/>
  <c r="F30" i="21"/>
  <c r="E31" i="21"/>
  <c r="U8" i="26"/>
  <c r="U9" i="26"/>
  <c r="C15" i="26"/>
  <c r="C15" i="29" s="1"/>
  <c r="U15" i="26"/>
  <c r="V15" i="26"/>
  <c r="U16" i="26"/>
  <c r="U17" i="26"/>
  <c r="U18" i="26"/>
  <c r="U19" i="26"/>
  <c r="C20" i="26"/>
  <c r="U20" i="26"/>
  <c r="V20" i="26"/>
  <c r="U21" i="26"/>
  <c r="B14" i="12"/>
  <c r="B15" i="12" s="1"/>
  <c r="B16" i="12" s="1"/>
  <c r="D31" i="21"/>
  <c r="L30" i="21"/>
  <c r="B12" i="32"/>
  <c r="B13" i="32" s="1"/>
  <c r="C35" i="12"/>
  <c r="C44" i="12"/>
  <c r="C10" i="26"/>
  <c r="C10" i="29" s="1"/>
  <c r="B10" i="26"/>
  <c r="C11" i="26"/>
  <c r="C11" i="29" s="1"/>
  <c r="B11" i="26"/>
  <c r="C12" i="26"/>
  <c r="C12" i="29" s="1"/>
  <c r="B12" i="26"/>
  <c r="C13" i="26"/>
  <c r="C13" i="29" s="1"/>
  <c r="B13" i="26"/>
  <c r="C14" i="26"/>
  <c r="C14" i="29" s="1"/>
  <c r="B14" i="26"/>
  <c r="C25" i="26"/>
  <c r="C25" i="29" s="1"/>
  <c r="B25" i="26"/>
  <c r="C27" i="26"/>
  <c r="C27" i="29" s="1"/>
  <c r="B27" i="26"/>
  <c r="C35" i="26"/>
  <c r="C35" i="29" s="1"/>
  <c r="C36" i="26"/>
  <c r="B36" i="26"/>
  <c r="C37" i="26"/>
  <c r="C37" i="29" s="1"/>
  <c r="B37" i="26"/>
  <c r="C38" i="26"/>
  <c r="C38" i="29" s="1"/>
  <c r="B38" i="26"/>
  <c r="C39" i="26"/>
  <c r="C39" i="29" s="1"/>
  <c r="B39" i="26"/>
  <c r="C42" i="26"/>
  <c r="C42" i="29" s="1"/>
  <c r="B42" i="26"/>
  <c r="C44" i="26"/>
  <c r="C44" i="29" s="1"/>
  <c r="B44" i="26"/>
  <c r="B45" i="26"/>
  <c r="C45" i="26"/>
  <c r="C45" i="29" s="1"/>
  <c r="C46" i="26"/>
  <c r="C46" i="29" s="1"/>
  <c r="B46" i="26"/>
  <c r="B47" i="26"/>
  <c r="C47" i="26"/>
  <c r="C47" i="29" s="1"/>
  <c r="C48" i="26"/>
  <c r="C48" i="29" s="1"/>
  <c r="B48" i="26"/>
  <c r="B49" i="26"/>
  <c r="C49" i="26"/>
  <c r="C49" i="29" s="1"/>
  <c r="C51" i="26"/>
  <c r="B51" i="26"/>
  <c r="C53" i="26"/>
  <c r="C53" i="29" s="1"/>
  <c r="B53" i="26"/>
  <c r="C54" i="26"/>
  <c r="C54" i="29" s="1"/>
  <c r="B54" i="26"/>
  <c r="C55" i="26"/>
  <c r="C55" i="29" s="1"/>
  <c r="B55" i="26"/>
  <c r="C56" i="26"/>
  <c r="C56" i="29" s="1"/>
  <c r="B56" i="26"/>
  <c r="C60" i="26"/>
  <c r="C60" i="29" s="1"/>
  <c r="B60" i="26"/>
  <c r="C61" i="26"/>
  <c r="C61" i="29" s="1"/>
  <c r="B61" i="26"/>
  <c r="C65" i="26"/>
  <c r="C65" i="29" s="1"/>
  <c r="B65" i="26"/>
  <c r="C71" i="26"/>
  <c r="C71" i="29" s="1"/>
  <c r="B71" i="26"/>
  <c r="C72" i="26"/>
  <c r="C72" i="29" s="1"/>
  <c r="B72" i="26"/>
  <c r="C73" i="26"/>
  <c r="C73" i="29" s="1"/>
  <c r="B73" i="26"/>
  <c r="C75" i="26"/>
  <c r="C75" i="29" s="1"/>
  <c r="B75" i="26"/>
  <c r="C76" i="26"/>
  <c r="C76" i="29" s="1"/>
  <c r="B76" i="26"/>
  <c r="C79" i="26"/>
  <c r="C79" i="29" s="1"/>
  <c r="B79" i="26"/>
  <c r="C81" i="26"/>
  <c r="C81" i="29" s="1"/>
  <c r="B81" i="26"/>
  <c r="C84" i="26"/>
  <c r="C84" i="29" s="1"/>
  <c r="B84" i="26"/>
  <c r="B85" i="26"/>
  <c r="C85" i="26"/>
  <c r="C85" i="29" s="1"/>
  <c r="C89" i="26"/>
  <c r="C89" i="29" s="1"/>
  <c r="B89" i="26"/>
  <c r="B90" i="26"/>
  <c r="C90" i="26"/>
  <c r="C90" i="29" s="1"/>
  <c r="C91" i="26"/>
  <c r="C91" i="29" s="1"/>
  <c r="B91" i="26"/>
  <c r="G105" i="26"/>
  <c r="I105" i="26" s="1"/>
  <c r="B105" i="26"/>
  <c r="G106" i="26"/>
  <c r="I106" i="26" s="1"/>
  <c r="B106" i="26"/>
  <c r="E9" i="29"/>
  <c r="E11" i="29"/>
  <c r="M11" i="29" s="1"/>
  <c r="E13" i="29"/>
  <c r="E15" i="29"/>
  <c r="E17" i="29"/>
  <c r="E19" i="29"/>
  <c r="E21" i="29"/>
  <c r="E23" i="29"/>
  <c r="E25" i="29"/>
  <c r="E27" i="29"/>
  <c r="E29" i="29"/>
  <c r="E31" i="29"/>
  <c r="E33" i="29"/>
  <c r="AC33" i="29" s="1"/>
  <c r="E35" i="29"/>
  <c r="E37" i="29"/>
  <c r="E39" i="29"/>
  <c r="M39" i="29" s="1"/>
  <c r="E41" i="29"/>
  <c r="E43" i="29"/>
  <c r="E45" i="29"/>
  <c r="E47" i="29"/>
  <c r="AI47" i="29" s="1"/>
  <c r="E49" i="29"/>
  <c r="T49" i="29" s="1"/>
  <c r="E51" i="29"/>
  <c r="R51" i="29" s="1"/>
  <c r="E53" i="29"/>
  <c r="E55" i="29"/>
  <c r="E57" i="29"/>
  <c r="E59" i="29"/>
  <c r="E61" i="29"/>
  <c r="X61" i="29" s="1"/>
  <c r="E63" i="29"/>
  <c r="AC63" i="29" s="1"/>
  <c r="E67" i="29"/>
  <c r="E69" i="29"/>
  <c r="E71" i="29"/>
  <c r="AA71" i="29" s="1"/>
  <c r="E73" i="29"/>
  <c r="AC73" i="29" s="1"/>
  <c r="E75" i="29"/>
  <c r="Q75" i="29" s="1"/>
  <c r="E77" i="29"/>
  <c r="E79" i="29"/>
  <c r="S79" i="29" s="1"/>
  <c r="E81" i="29"/>
  <c r="J81" i="29" s="1"/>
  <c r="E83" i="29"/>
  <c r="S83" i="29" s="1"/>
  <c r="E85" i="29"/>
  <c r="E87" i="29"/>
  <c r="E89" i="29"/>
  <c r="AC89" i="29" s="1"/>
  <c r="E91" i="29"/>
  <c r="G91" i="29" s="1"/>
  <c r="E93" i="29"/>
  <c r="M93" i="29" s="1"/>
  <c r="E95" i="29"/>
  <c r="S95" i="29" s="1"/>
  <c r="C8" i="26"/>
  <c r="B8" i="26"/>
  <c r="D97" i="29"/>
  <c r="E97" i="29"/>
  <c r="V97" i="29" s="1"/>
  <c r="D98" i="29"/>
  <c r="E98" i="29"/>
  <c r="D99" i="29"/>
  <c r="E99" i="29"/>
  <c r="F99" i="29" s="1"/>
  <c r="D100" i="29"/>
  <c r="E100" i="29"/>
  <c r="V100" i="29" s="1"/>
  <c r="D101" i="29"/>
  <c r="E101" i="29"/>
  <c r="H101" i="29" s="1"/>
  <c r="D102" i="29"/>
  <c r="E102" i="29"/>
  <c r="D103" i="29"/>
  <c r="E103" i="29"/>
  <c r="D104" i="29"/>
  <c r="E104" i="29"/>
  <c r="L104" i="29" s="1"/>
  <c r="D105" i="29"/>
  <c r="E105" i="29"/>
  <c r="AG105" i="29" s="1"/>
  <c r="D106" i="29"/>
  <c r="E106" i="29"/>
  <c r="C51" i="12"/>
  <c r="C68" i="12"/>
  <c r="C85" i="12"/>
  <c r="E8" i="29"/>
  <c r="E10" i="29"/>
  <c r="E12" i="29"/>
  <c r="AJ12" i="29" s="1"/>
  <c r="E14" i="29"/>
  <c r="E16" i="29"/>
  <c r="E18" i="29"/>
  <c r="E20" i="29"/>
  <c r="E22" i="29"/>
  <c r="E24" i="29"/>
  <c r="E26" i="29"/>
  <c r="E28" i="29"/>
  <c r="E30" i="29"/>
  <c r="E32" i="29"/>
  <c r="E34" i="29"/>
  <c r="E36" i="29"/>
  <c r="E38" i="29"/>
  <c r="E40" i="29"/>
  <c r="E42" i="29"/>
  <c r="E44" i="29"/>
  <c r="N44" i="29" s="1"/>
  <c r="E46" i="29"/>
  <c r="E48" i="29"/>
  <c r="E50" i="29"/>
  <c r="E52" i="29"/>
  <c r="E54" i="29"/>
  <c r="P54" i="29" s="1"/>
  <c r="E56" i="29"/>
  <c r="Y56" i="29" s="1"/>
  <c r="E58" i="29"/>
  <c r="E60" i="29"/>
  <c r="E62" i="29"/>
  <c r="E64" i="29"/>
  <c r="E68" i="29"/>
  <c r="E70" i="29"/>
  <c r="E72" i="29"/>
  <c r="E74" i="29"/>
  <c r="E76" i="29"/>
  <c r="U76" i="29" s="1"/>
  <c r="E78" i="29"/>
  <c r="E80" i="29"/>
  <c r="E82" i="29"/>
  <c r="AB82" i="29" s="1"/>
  <c r="E84" i="29"/>
  <c r="E86" i="29"/>
  <c r="E88" i="29"/>
  <c r="E90" i="29"/>
  <c r="E92" i="29"/>
  <c r="AA92" i="29" s="1"/>
  <c r="E94" i="29"/>
  <c r="E96" i="29"/>
  <c r="E65" i="29"/>
  <c r="AJ65" i="29" s="1"/>
  <c r="E66" i="29"/>
  <c r="S66" i="29" s="1"/>
  <c r="AB94" i="29"/>
  <c r="C68" i="26"/>
  <c r="C68" i="29" s="1"/>
  <c r="C16" i="26"/>
  <c r="C34" i="29"/>
  <c r="S8" i="26"/>
  <c r="AB8" i="26"/>
  <c r="K8" i="26"/>
  <c r="O8" i="26"/>
  <c r="X8" i="26"/>
  <c r="H8" i="26"/>
  <c r="Q8" i="26"/>
  <c r="M8" i="26"/>
  <c r="AH8" i="26"/>
  <c r="AF8" i="26"/>
  <c r="Z8" i="26"/>
  <c r="F9" i="26"/>
  <c r="H9" i="26"/>
  <c r="L9" i="26"/>
  <c r="N9" i="26"/>
  <c r="P9" i="26"/>
  <c r="R9" i="26"/>
  <c r="T9" i="26"/>
  <c r="X9" i="26"/>
  <c r="Z9" i="26"/>
  <c r="AB9" i="26"/>
  <c r="AF9" i="26"/>
  <c r="AH9" i="26"/>
  <c r="G9" i="26"/>
  <c r="I9" i="26" s="1"/>
  <c r="K9" i="26"/>
  <c r="O9" i="26"/>
  <c r="S9" i="26"/>
  <c r="W9" i="26"/>
  <c r="AA9" i="26"/>
  <c r="AD9" i="26"/>
  <c r="AG9" i="26"/>
  <c r="AI9" i="26"/>
  <c r="AK9" i="26"/>
  <c r="Q9" i="26"/>
  <c r="AC9" i="26"/>
  <c r="M9" i="26"/>
  <c r="Y9" i="26"/>
  <c r="F10" i="26"/>
  <c r="H10" i="26"/>
  <c r="J10" i="26" s="1"/>
  <c r="L10" i="26"/>
  <c r="N10" i="26"/>
  <c r="P10" i="26"/>
  <c r="R10" i="26"/>
  <c r="T10" i="26"/>
  <c r="V10" i="26"/>
  <c r="X10" i="26"/>
  <c r="Z10" i="26"/>
  <c r="AB10" i="26"/>
  <c r="AF10" i="26"/>
  <c r="AH10" i="26"/>
  <c r="AJ10" i="26"/>
  <c r="M10" i="26"/>
  <c r="Q10" i="26"/>
  <c r="U10" i="26"/>
  <c r="Y10" i="26"/>
  <c r="AC10" i="26"/>
  <c r="AE10" i="26"/>
  <c r="G10" i="26"/>
  <c r="I10" i="26" s="1"/>
  <c r="O10" i="26"/>
  <c r="AA10" i="26"/>
  <c r="AG10" i="26"/>
  <c r="AK10" i="26"/>
  <c r="S10" i="26"/>
  <c r="AD10" i="26"/>
  <c r="K10" i="26"/>
  <c r="AI10" i="26"/>
  <c r="F11" i="26"/>
  <c r="H11" i="26"/>
  <c r="J11" i="26" s="1"/>
  <c r="L11" i="26"/>
  <c r="N11" i="26"/>
  <c r="P11" i="26"/>
  <c r="R11" i="26"/>
  <c r="T11" i="26"/>
  <c r="V11" i="26"/>
  <c r="X11" i="26"/>
  <c r="Z11" i="26"/>
  <c r="AB11" i="26"/>
  <c r="AF11" i="26"/>
  <c r="AH11" i="26"/>
  <c r="AJ11" i="26"/>
  <c r="G11" i="26"/>
  <c r="I11" i="26" s="1"/>
  <c r="K11" i="26"/>
  <c r="O11" i="26"/>
  <c r="S11" i="26"/>
  <c r="W11" i="26"/>
  <c r="AA11" i="26"/>
  <c r="AD11" i="26"/>
  <c r="AG11" i="26"/>
  <c r="AI11" i="26"/>
  <c r="AK11" i="26"/>
  <c r="M11" i="26"/>
  <c r="U11" i="26"/>
  <c r="Y11" i="26"/>
  <c r="AE11" i="26"/>
  <c r="AC11" i="26"/>
  <c r="F12" i="26"/>
  <c r="H12" i="26"/>
  <c r="J12" i="26" s="1"/>
  <c r="L12" i="26"/>
  <c r="N12" i="26"/>
  <c r="P12" i="26"/>
  <c r="R12" i="26"/>
  <c r="T12" i="26"/>
  <c r="V12" i="26"/>
  <c r="X12" i="26"/>
  <c r="Z12" i="26"/>
  <c r="AB12" i="26"/>
  <c r="AF12" i="26"/>
  <c r="AH12" i="26"/>
  <c r="AJ12" i="26"/>
  <c r="M12" i="26"/>
  <c r="Q12" i="26"/>
  <c r="U12" i="26"/>
  <c r="Y12" i="26"/>
  <c r="AC12" i="26"/>
  <c r="AE12" i="26"/>
  <c r="K12" i="26"/>
  <c r="S12" i="26"/>
  <c r="W12" i="26"/>
  <c r="AD12" i="26"/>
  <c r="AI12" i="26"/>
  <c r="O12" i="26"/>
  <c r="AA12" i="26"/>
  <c r="AK12" i="26"/>
  <c r="F13" i="26"/>
  <c r="G13" i="26"/>
  <c r="I13" i="26" s="1"/>
  <c r="K13" i="26"/>
  <c r="M13" i="26"/>
  <c r="O13" i="26"/>
  <c r="Q13" i="26"/>
  <c r="S13" i="26"/>
  <c r="U13" i="26"/>
  <c r="W13" i="26"/>
  <c r="Y13" i="26"/>
  <c r="AA13" i="26"/>
  <c r="AC13" i="26"/>
  <c r="AD13" i="26"/>
  <c r="AE13" i="26"/>
  <c r="AG13" i="26"/>
  <c r="AI13" i="26"/>
  <c r="AK13" i="26"/>
  <c r="H13" i="26"/>
  <c r="J13" i="26" s="1"/>
  <c r="L13" i="26"/>
  <c r="P13" i="26"/>
  <c r="T13" i="26"/>
  <c r="X13" i="26"/>
  <c r="AB13" i="26"/>
  <c r="AJ13" i="26"/>
  <c r="N13" i="26"/>
  <c r="V13" i="26"/>
  <c r="Z13" i="26"/>
  <c r="AF13" i="26"/>
  <c r="AH13" i="26"/>
  <c r="G14" i="26"/>
  <c r="I14" i="26" s="1"/>
  <c r="K14" i="26"/>
  <c r="M14" i="26"/>
  <c r="O14" i="26"/>
  <c r="Q14" i="26"/>
  <c r="S14" i="26"/>
  <c r="U14" i="26"/>
  <c r="W14" i="26"/>
  <c r="Y14" i="26"/>
  <c r="AA14" i="26"/>
  <c r="AC14" i="26"/>
  <c r="AD14" i="26"/>
  <c r="AE14" i="26"/>
  <c r="AG14" i="26"/>
  <c r="AI14" i="26"/>
  <c r="AK14" i="26"/>
  <c r="F14" i="26"/>
  <c r="N14" i="26"/>
  <c r="R14" i="26"/>
  <c r="V14" i="26"/>
  <c r="Z14" i="26"/>
  <c r="AF14" i="26"/>
  <c r="AH14" i="26"/>
  <c r="L14" i="26"/>
  <c r="T14" i="26"/>
  <c r="X14" i="26"/>
  <c r="AJ14" i="26"/>
  <c r="P14" i="26"/>
  <c r="AB14" i="26"/>
  <c r="G15" i="26"/>
  <c r="I15" i="26" s="1"/>
  <c r="K15" i="26"/>
  <c r="M15" i="26"/>
  <c r="O15" i="26"/>
  <c r="Q15" i="26"/>
  <c r="S15" i="26"/>
  <c r="W15" i="26"/>
  <c r="Y15" i="26"/>
  <c r="AA15" i="26"/>
  <c r="AC15" i="26"/>
  <c r="AD15" i="26"/>
  <c r="AE15" i="26"/>
  <c r="AG15" i="26"/>
  <c r="AI15" i="26"/>
  <c r="AK15" i="26"/>
  <c r="H15" i="26"/>
  <c r="L15" i="26"/>
  <c r="P15" i="26"/>
  <c r="T15" i="26"/>
  <c r="X15" i="26"/>
  <c r="AB15" i="26"/>
  <c r="R15" i="26"/>
  <c r="AH15" i="26"/>
  <c r="F15" i="26"/>
  <c r="AF15" i="26"/>
  <c r="G16" i="26"/>
  <c r="I16" i="26" s="1"/>
  <c r="K16" i="26"/>
  <c r="M16" i="26"/>
  <c r="O16" i="26"/>
  <c r="Q16" i="26"/>
  <c r="S16" i="26"/>
  <c r="W16" i="26"/>
  <c r="Y16" i="26"/>
  <c r="AA16" i="26"/>
  <c r="AC16" i="26"/>
  <c r="AD16" i="26"/>
  <c r="AE16" i="26"/>
  <c r="AG16" i="26"/>
  <c r="AI16" i="26"/>
  <c r="AK16" i="26"/>
  <c r="F16" i="26"/>
  <c r="N16" i="26"/>
  <c r="R16" i="26"/>
  <c r="Z16" i="26"/>
  <c r="AF16" i="26"/>
  <c r="AH16" i="26"/>
  <c r="H16" i="26"/>
  <c r="P16" i="26"/>
  <c r="AB16" i="26"/>
  <c r="L16" i="26"/>
  <c r="X16" i="26"/>
  <c r="G17" i="26"/>
  <c r="I17" i="26" s="1"/>
  <c r="K17" i="26"/>
  <c r="M17" i="26"/>
  <c r="O17" i="26"/>
  <c r="Q17" i="26"/>
  <c r="S17" i="26"/>
  <c r="W17" i="26"/>
  <c r="Y17" i="26"/>
  <c r="AA17" i="26"/>
  <c r="AC17" i="26"/>
  <c r="AD17" i="26"/>
  <c r="AE17" i="26"/>
  <c r="AG17" i="26"/>
  <c r="AI17" i="26"/>
  <c r="AK17" i="26"/>
  <c r="H17" i="26"/>
  <c r="L17" i="26"/>
  <c r="P17" i="26"/>
  <c r="T17" i="26"/>
  <c r="X17" i="26"/>
  <c r="AB17" i="26"/>
  <c r="F17" i="26"/>
  <c r="N17" i="26"/>
  <c r="Z17" i="26"/>
  <c r="AF17" i="26"/>
  <c r="R17" i="26"/>
  <c r="G18" i="26"/>
  <c r="I18" i="26" s="1"/>
  <c r="K18" i="26"/>
  <c r="M18" i="26"/>
  <c r="O18" i="26"/>
  <c r="Q18" i="26"/>
  <c r="S18" i="26"/>
  <c r="W18" i="26"/>
  <c r="Y18" i="26"/>
  <c r="AA18" i="26"/>
  <c r="AC18" i="26"/>
  <c r="AD18" i="26"/>
  <c r="AE18" i="26"/>
  <c r="AG18" i="26"/>
  <c r="AI18" i="26"/>
  <c r="AK18" i="26"/>
  <c r="F18" i="26"/>
  <c r="N18" i="26"/>
  <c r="R18" i="26"/>
  <c r="Z18" i="26"/>
  <c r="AF18" i="26"/>
  <c r="AH18" i="26"/>
  <c r="L18" i="26"/>
  <c r="T18" i="26"/>
  <c r="X18" i="26"/>
  <c r="H18" i="26"/>
  <c r="G19" i="26"/>
  <c r="I19" i="26" s="1"/>
  <c r="H19" i="26"/>
  <c r="K19" i="26"/>
  <c r="M19" i="26"/>
  <c r="O19" i="26"/>
  <c r="Q19" i="26"/>
  <c r="S19" i="26"/>
  <c r="W19" i="26"/>
  <c r="Y19" i="26"/>
  <c r="AA19" i="26"/>
  <c r="AC19" i="26"/>
  <c r="AD19" i="26"/>
  <c r="AE19" i="26"/>
  <c r="AG19" i="26"/>
  <c r="AI19" i="26"/>
  <c r="AK19" i="26"/>
  <c r="N19" i="26"/>
  <c r="R19" i="26"/>
  <c r="Z19" i="26"/>
  <c r="AF19" i="26"/>
  <c r="AH19" i="26"/>
  <c r="L19" i="26"/>
  <c r="T19" i="26"/>
  <c r="X19" i="26"/>
  <c r="G20" i="26"/>
  <c r="I20" i="26" s="1"/>
  <c r="K20" i="26"/>
  <c r="M20" i="26"/>
  <c r="O20" i="26"/>
  <c r="Q20" i="26"/>
  <c r="S20" i="26"/>
  <c r="W20" i="26"/>
  <c r="Y20" i="26"/>
  <c r="AA20" i="26"/>
  <c r="AC20" i="26"/>
  <c r="AD20" i="26"/>
  <c r="AE20" i="26"/>
  <c r="AG20" i="26"/>
  <c r="AI20" i="26"/>
  <c r="AK20" i="26"/>
  <c r="H20" i="26"/>
  <c r="L20" i="26"/>
  <c r="P20" i="26"/>
  <c r="T20" i="26"/>
  <c r="X20" i="26"/>
  <c r="AB20" i="26"/>
  <c r="R20" i="26"/>
  <c r="AH20" i="26"/>
  <c r="G21" i="26"/>
  <c r="I21" i="26" s="1"/>
  <c r="K21" i="26"/>
  <c r="M21" i="26"/>
  <c r="O21" i="26"/>
  <c r="Q21" i="26"/>
  <c r="S21" i="26"/>
  <c r="W21" i="26"/>
  <c r="Y21" i="26"/>
  <c r="AA21" i="26"/>
  <c r="AC21" i="26"/>
  <c r="AD21" i="26"/>
  <c r="AE21" i="26"/>
  <c r="AG21" i="26"/>
  <c r="AI21" i="26"/>
  <c r="AK21" i="26"/>
  <c r="F21" i="26"/>
  <c r="N21" i="26"/>
  <c r="R21" i="26"/>
  <c r="Z21" i="26"/>
  <c r="AF21" i="26"/>
  <c r="AH21" i="26"/>
  <c r="H21" i="26"/>
  <c r="P21" i="26"/>
  <c r="AB21" i="26"/>
  <c r="G22" i="26"/>
  <c r="I22" i="26" s="1"/>
  <c r="K22" i="26"/>
  <c r="M22" i="26"/>
  <c r="O22" i="26"/>
  <c r="Q22" i="26"/>
  <c r="S22" i="26"/>
  <c r="U22" i="26"/>
  <c r="W22" i="26"/>
  <c r="Y22" i="26"/>
  <c r="AA22" i="26"/>
  <c r="AC22" i="26"/>
  <c r="AD22" i="26"/>
  <c r="AE22" i="26"/>
  <c r="AG22" i="26"/>
  <c r="AI22" i="26"/>
  <c r="AK22" i="26"/>
  <c r="H22" i="26"/>
  <c r="L22" i="26"/>
  <c r="P22" i="26"/>
  <c r="T22" i="26"/>
  <c r="X22" i="26"/>
  <c r="AB22" i="26"/>
  <c r="F22" i="26"/>
  <c r="N22" i="26"/>
  <c r="Z22" i="26"/>
  <c r="AF22" i="26"/>
  <c r="G23" i="26"/>
  <c r="I23" i="26" s="1"/>
  <c r="K23" i="26"/>
  <c r="M23" i="26"/>
  <c r="O23" i="26"/>
  <c r="Q23" i="26"/>
  <c r="S23" i="26"/>
  <c r="U23" i="26"/>
  <c r="W23" i="26"/>
  <c r="Y23" i="26"/>
  <c r="AA23" i="26"/>
  <c r="AC23" i="26"/>
  <c r="AD23" i="26"/>
  <c r="AE23" i="26"/>
  <c r="AG23" i="26"/>
  <c r="AI23" i="26"/>
  <c r="AK23" i="26"/>
  <c r="F23" i="26"/>
  <c r="N23" i="26"/>
  <c r="R23" i="26"/>
  <c r="Z23" i="26"/>
  <c r="AF23" i="26"/>
  <c r="AH23" i="26"/>
  <c r="L23" i="26"/>
  <c r="T23" i="26"/>
  <c r="X23" i="26"/>
  <c r="G24" i="26"/>
  <c r="I24" i="26" s="1"/>
  <c r="K24" i="26"/>
  <c r="M24" i="26"/>
  <c r="O24" i="26"/>
  <c r="Q24" i="26"/>
  <c r="S24" i="26"/>
  <c r="U24" i="26"/>
  <c r="W24" i="26"/>
  <c r="Y24" i="26"/>
  <c r="AA24" i="26"/>
  <c r="AC24" i="26"/>
  <c r="AD24" i="26"/>
  <c r="AE24" i="26"/>
  <c r="AG24" i="26"/>
  <c r="AI24" i="26"/>
  <c r="AK24" i="26"/>
  <c r="H24" i="26"/>
  <c r="L24" i="26"/>
  <c r="P24" i="26"/>
  <c r="T24" i="26"/>
  <c r="X24" i="26"/>
  <c r="AB24" i="26"/>
  <c r="R24" i="26"/>
  <c r="AH24" i="26"/>
  <c r="G25" i="26"/>
  <c r="I25" i="26" s="1"/>
  <c r="K25" i="26"/>
  <c r="M25" i="26"/>
  <c r="O25" i="26"/>
  <c r="Q25" i="26"/>
  <c r="S25" i="26"/>
  <c r="U25" i="26"/>
  <c r="W25" i="26"/>
  <c r="Y25" i="26"/>
  <c r="AA25" i="26"/>
  <c r="AC25" i="26"/>
  <c r="AD25" i="26"/>
  <c r="AE25" i="26"/>
  <c r="AG25" i="26"/>
  <c r="AI25" i="26"/>
  <c r="AK25" i="26"/>
  <c r="F25" i="26"/>
  <c r="N25" i="26"/>
  <c r="R25" i="26"/>
  <c r="V25" i="26"/>
  <c r="Z25" i="26"/>
  <c r="AF25" i="26"/>
  <c r="AH25" i="26"/>
  <c r="H25" i="26"/>
  <c r="J25" i="26" s="1"/>
  <c r="P25" i="26"/>
  <c r="AB25" i="26"/>
  <c r="G26" i="26"/>
  <c r="I26" i="26" s="1"/>
  <c r="K26" i="26"/>
  <c r="M26" i="26"/>
  <c r="O26" i="26"/>
  <c r="Q26" i="26"/>
  <c r="S26" i="26"/>
  <c r="U26" i="26"/>
  <c r="W26" i="26"/>
  <c r="Y26" i="26"/>
  <c r="AA26" i="26"/>
  <c r="AC26" i="26"/>
  <c r="AD26" i="26"/>
  <c r="AE26" i="26"/>
  <c r="AG26" i="26"/>
  <c r="AI26" i="26"/>
  <c r="AK26" i="26"/>
  <c r="H26" i="26"/>
  <c r="L26" i="26"/>
  <c r="P26" i="26"/>
  <c r="T26" i="26"/>
  <c r="X26" i="26"/>
  <c r="AB26" i="26"/>
  <c r="F26" i="26"/>
  <c r="N26" i="26"/>
  <c r="Z26" i="26"/>
  <c r="AF26" i="26"/>
  <c r="G27" i="26"/>
  <c r="I27" i="26" s="1"/>
  <c r="K27" i="26"/>
  <c r="M27" i="26"/>
  <c r="O27" i="26"/>
  <c r="Q27" i="26"/>
  <c r="S27" i="26"/>
  <c r="U27" i="26"/>
  <c r="W27" i="26"/>
  <c r="Y27" i="26"/>
  <c r="AA27" i="26"/>
  <c r="AC27" i="26"/>
  <c r="AD27" i="26"/>
  <c r="AE27" i="26"/>
  <c r="AG27" i="26"/>
  <c r="AI27" i="26"/>
  <c r="AK27" i="26"/>
  <c r="F27" i="26"/>
  <c r="N27" i="26"/>
  <c r="R27" i="26"/>
  <c r="V27" i="26"/>
  <c r="Z27" i="26"/>
  <c r="AF27" i="26"/>
  <c r="AH27" i="26"/>
  <c r="L27" i="26"/>
  <c r="T27" i="26"/>
  <c r="X27" i="26"/>
  <c r="AJ27" i="26"/>
  <c r="G28" i="26"/>
  <c r="I28" i="26" s="1"/>
  <c r="K28" i="26"/>
  <c r="M28" i="26"/>
  <c r="O28" i="26"/>
  <c r="Q28" i="26"/>
  <c r="S28" i="26"/>
  <c r="U28" i="26"/>
  <c r="W28" i="26"/>
  <c r="Y28" i="26"/>
  <c r="AA28" i="26"/>
  <c r="AC28" i="26"/>
  <c r="AD28" i="26"/>
  <c r="AE28" i="26"/>
  <c r="AG28" i="26"/>
  <c r="AI28" i="26"/>
  <c r="AK28" i="26"/>
  <c r="H28" i="26"/>
  <c r="L28" i="26"/>
  <c r="P28" i="26"/>
  <c r="T28" i="26"/>
  <c r="X28" i="26"/>
  <c r="AB28" i="26"/>
  <c r="R28" i="26"/>
  <c r="AH28" i="26"/>
  <c r="G29" i="26"/>
  <c r="I29" i="26" s="1"/>
  <c r="K29" i="26"/>
  <c r="M29" i="26"/>
  <c r="O29" i="26"/>
  <c r="Q29" i="26"/>
  <c r="S29" i="26"/>
  <c r="U29" i="26"/>
  <c r="W29" i="26"/>
  <c r="Y29" i="26"/>
  <c r="AA29" i="26"/>
  <c r="AC29" i="26"/>
  <c r="AD29" i="26"/>
  <c r="AE29" i="26"/>
  <c r="AG29" i="26"/>
  <c r="AI29" i="26"/>
  <c r="AK29" i="26"/>
  <c r="F29" i="26"/>
  <c r="N29" i="26"/>
  <c r="R29" i="26"/>
  <c r="Z29" i="26"/>
  <c r="AF29" i="26"/>
  <c r="AH29" i="26"/>
  <c r="H29" i="26"/>
  <c r="P29" i="26"/>
  <c r="AB29" i="26"/>
  <c r="G30" i="26"/>
  <c r="I30" i="26" s="1"/>
  <c r="K30" i="26"/>
  <c r="M30" i="26"/>
  <c r="O30" i="26"/>
  <c r="Q30" i="26"/>
  <c r="S30" i="26"/>
  <c r="U30" i="26"/>
  <c r="W30" i="26"/>
  <c r="Y30" i="26"/>
  <c r="AA30" i="26"/>
  <c r="AC30" i="26"/>
  <c r="AD30" i="26"/>
  <c r="AE30" i="26"/>
  <c r="AG30" i="26"/>
  <c r="AI30" i="26"/>
  <c r="AK30" i="26"/>
  <c r="H30" i="26"/>
  <c r="L30" i="26"/>
  <c r="P30" i="26"/>
  <c r="T30" i="26"/>
  <c r="X30" i="26"/>
  <c r="AB30" i="26"/>
  <c r="F30" i="26"/>
  <c r="N30" i="26"/>
  <c r="Z30" i="26"/>
  <c r="AF30" i="26"/>
  <c r="G31" i="26"/>
  <c r="I31" i="26" s="1"/>
  <c r="K31" i="26"/>
  <c r="M31" i="26"/>
  <c r="O31" i="26"/>
  <c r="Q31" i="26"/>
  <c r="F31" i="26"/>
  <c r="N31" i="26"/>
  <c r="R31" i="26"/>
  <c r="T31" i="26"/>
  <c r="X31" i="26"/>
  <c r="Z31" i="26"/>
  <c r="AB31" i="26"/>
  <c r="AF31" i="26"/>
  <c r="AH31" i="26"/>
  <c r="L31" i="26"/>
  <c r="S31" i="26"/>
  <c r="W31" i="26"/>
  <c r="AA31" i="26"/>
  <c r="AD31" i="26"/>
  <c r="AG31" i="26"/>
  <c r="AI31" i="26"/>
  <c r="AK31" i="26"/>
  <c r="F32" i="26"/>
  <c r="H32" i="26"/>
  <c r="L32" i="26"/>
  <c r="N32" i="26"/>
  <c r="P32" i="26"/>
  <c r="R32" i="26"/>
  <c r="T32" i="26"/>
  <c r="X32" i="26"/>
  <c r="Z32" i="26"/>
  <c r="AB32" i="26"/>
  <c r="AF32" i="26"/>
  <c r="AH32" i="26"/>
  <c r="M32" i="26"/>
  <c r="Q32" i="26"/>
  <c r="U32" i="26"/>
  <c r="Y32" i="26"/>
  <c r="AC32" i="26"/>
  <c r="AE32" i="26"/>
  <c r="F33" i="26"/>
  <c r="H33" i="26"/>
  <c r="J33" i="26" s="1"/>
  <c r="L33" i="26"/>
  <c r="N33" i="26"/>
  <c r="P33" i="26"/>
  <c r="R33" i="26"/>
  <c r="T33" i="26"/>
  <c r="V33" i="26"/>
  <c r="X33" i="26"/>
  <c r="Z33" i="26"/>
  <c r="AB33" i="26"/>
  <c r="AF33" i="26"/>
  <c r="AH33" i="26"/>
  <c r="AJ33" i="26"/>
  <c r="G33" i="26"/>
  <c r="I33" i="26" s="1"/>
  <c r="K33" i="26"/>
  <c r="O33" i="26"/>
  <c r="S33" i="26"/>
  <c r="W33" i="26"/>
  <c r="AA33" i="26"/>
  <c r="AD33" i="26"/>
  <c r="AG33" i="26"/>
  <c r="AI33" i="26"/>
  <c r="AK33" i="26"/>
  <c r="F34" i="26"/>
  <c r="H34" i="26"/>
  <c r="L34" i="26"/>
  <c r="N34" i="26"/>
  <c r="P34" i="26"/>
  <c r="R34" i="26"/>
  <c r="T34" i="26"/>
  <c r="X34" i="26"/>
  <c r="Z34" i="26"/>
  <c r="AB34" i="26"/>
  <c r="AF34" i="26"/>
  <c r="AH34" i="26"/>
  <c r="M34" i="26"/>
  <c r="Q34" i="26"/>
  <c r="U34" i="26"/>
  <c r="Y34" i="26"/>
  <c r="AC34" i="26"/>
  <c r="AE34" i="26"/>
  <c r="F35" i="26"/>
  <c r="H35" i="26"/>
  <c r="L35" i="26"/>
  <c r="N35" i="26"/>
  <c r="P35" i="26"/>
  <c r="R35" i="26"/>
  <c r="T35" i="26"/>
  <c r="X35" i="26"/>
  <c r="Z35" i="26"/>
  <c r="AB35" i="26"/>
  <c r="AF35" i="26"/>
  <c r="AH35" i="26"/>
  <c r="G35" i="26"/>
  <c r="I35" i="26" s="1"/>
  <c r="K35" i="26"/>
  <c r="O35" i="26"/>
  <c r="S35" i="26"/>
  <c r="W35" i="26"/>
  <c r="AA35" i="26"/>
  <c r="AD35" i="26"/>
  <c r="AG35" i="26"/>
  <c r="AI35" i="26"/>
  <c r="AK35" i="26"/>
  <c r="F36" i="26"/>
  <c r="H36" i="26"/>
  <c r="J36" i="26" s="1"/>
  <c r="L36" i="26"/>
  <c r="N36" i="26"/>
  <c r="P36" i="26"/>
  <c r="R36" i="26"/>
  <c r="T36" i="26"/>
  <c r="V36" i="26"/>
  <c r="X36" i="26"/>
  <c r="Z36" i="26"/>
  <c r="AB36" i="26"/>
  <c r="AF36" i="26"/>
  <c r="AH36" i="26"/>
  <c r="AJ36" i="26"/>
  <c r="M36" i="26"/>
  <c r="Q36" i="26"/>
  <c r="U36" i="26"/>
  <c r="Y36" i="26"/>
  <c r="AC36" i="26"/>
  <c r="AE36" i="26"/>
  <c r="F37" i="26"/>
  <c r="H37" i="26"/>
  <c r="J37" i="26" s="1"/>
  <c r="L37" i="26"/>
  <c r="N37" i="26"/>
  <c r="P37" i="26"/>
  <c r="R37" i="26"/>
  <c r="T37" i="26"/>
  <c r="V37" i="26"/>
  <c r="X37" i="26"/>
  <c r="Z37" i="26"/>
  <c r="AB37" i="26"/>
  <c r="AF37" i="26"/>
  <c r="AH37" i="26"/>
  <c r="AJ37" i="26"/>
  <c r="G37" i="26"/>
  <c r="I37" i="26" s="1"/>
  <c r="K37" i="26"/>
  <c r="O37" i="26"/>
  <c r="S37" i="26"/>
  <c r="W37" i="26"/>
  <c r="AA37" i="26"/>
  <c r="AD37" i="26"/>
  <c r="AG37" i="26"/>
  <c r="AI37" i="26"/>
  <c r="AK37" i="26"/>
  <c r="F38" i="26"/>
  <c r="H38" i="26"/>
  <c r="J38" i="26" s="1"/>
  <c r="L38" i="26"/>
  <c r="N38" i="26"/>
  <c r="P38" i="26"/>
  <c r="R38" i="26"/>
  <c r="T38" i="26"/>
  <c r="V38" i="26"/>
  <c r="X38" i="26"/>
  <c r="Z38" i="26"/>
  <c r="AB38" i="26"/>
  <c r="AF38" i="26"/>
  <c r="AH38" i="26"/>
  <c r="AJ38" i="26"/>
  <c r="M38" i="26"/>
  <c r="Q38" i="26"/>
  <c r="U38" i="26"/>
  <c r="Y38" i="26"/>
  <c r="AC38" i="26"/>
  <c r="AE38" i="26"/>
  <c r="F39" i="26"/>
  <c r="H39" i="26"/>
  <c r="J39" i="26" s="1"/>
  <c r="L39" i="26"/>
  <c r="N39" i="26"/>
  <c r="P39" i="26"/>
  <c r="R39" i="26"/>
  <c r="T39" i="26"/>
  <c r="V39" i="26"/>
  <c r="X39" i="26"/>
  <c r="Z39" i="26"/>
  <c r="AB39" i="26"/>
  <c r="AF39" i="26"/>
  <c r="AH39" i="26"/>
  <c r="AJ39" i="26"/>
  <c r="G39" i="26"/>
  <c r="I39" i="26" s="1"/>
  <c r="K39" i="26"/>
  <c r="O39" i="26"/>
  <c r="S39" i="26"/>
  <c r="W39" i="26"/>
  <c r="AA39" i="26"/>
  <c r="AD39" i="26"/>
  <c r="AG39" i="26"/>
  <c r="AI39" i="26"/>
  <c r="AK39" i="26"/>
  <c r="F40" i="26"/>
  <c r="H40" i="26"/>
  <c r="L40" i="26"/>
  <c r="N40" i="26"/>
  <c r="P40" i="26"/>
  <c r="R40" i="26"/>
  <c r="T40" i="26"/>
  <c r="X40" i="26"/>
  <c r="Z40" i="26"/>
  <c r="AB40" i="26"/>
  <c r="AF40" i="26"/>
  <c r="AH40" i="26"/>
  <c r="M40" i="26"/>
  <c r="Q40" i="26"/>
  <c r="U40" i="26"/>
  <c r="Y40" i="26"/>
  <c r="AC40" i="26"/>
  <c r="AE40" i="26"/>
  <c r="F41" i="26"/>
  <c r="H41" i="26"/>
  <c r="L41" i="26"/>
  <c r="N41" i="26"/>
  <c r="P41" i="26"/>
  <c r="R41" i="26"/>
  <c r="T41" i="26"/>
  <c r="X41" i="26"/>
  <c r="Z41" i="26"/>
  <c r="AB41" i="26"/>
  <c r="AF41" i="26"/>
  <c r="AH41" i="26"/>
  <c r="G41" i="26"/>
  <c r="I41" i="26" s="1"/>
  <c r="K41" i="26"/>
  <c r="O41" i="26"/>
  <c r="S41" i="26"/>
  <c r="W41" i="26"/>
  <c r="AA41" i="26"/>
  <c r="AD41" i="26"/>
  <c r="AG41" i="26"/>
  <c r="AI41" i="26"/>
  <c r="AK41" i="26"/>
  <c r="F42" i="26"/>
  <c r="H42" i="26"/>
  <c r="J42" i="26" s="1"/>
  <c r="L42" i="26"/>
  <c r="N42" i="26"/>
  <c r="P42" i="26"/>
  <c r="R42" i="26"/>
  <c r="T42" i="26"/>
  <c r="V42" i="26"/>
  <c r="X42" i="26"/>
  <c r="Z42" i="26"/>
  <c r="AB42" i="26"/>
  <c r="AF42" i="26"/>
  <c r="AH42" i="26"/>
  <c r="AJ42" i="26"/>
  <c r="M42" i="26"/>
  <c r="Q42" i="26"/>
  <c r="U42" i="26"/>
  <c r="Y42" i="26"/>
  <c r="AC42" i="26"/>
  <c r="AE42" i="26"/>
  <c r="F43" i="26"/>
  <c r="H43" i="26"/>
  <c r="L43" i="26"/>
  <c r="N43" i="26"/>
  <c r="P43" i="26"/>
  <c r="R43" i="26"/>
  <c r="T43" i="26"/>
  <c r="X43" i="26"/>
  <c r="Z43" i="26"/>
  <c r="AB43" i="26"/>
  <c r="AF43" i="26"/>
  <c r="AH43" i="26"/>
  <c r="G43" i="26"/>
  <c r="I43" i="26" s="1"/>
  <c r="K43" i="26"/>
  <c r="O43" i="26"/>
  <c r="S43" i="26"/>
  <c r="W43" i="26"/>
  <c r="AA43" i="26"/>
  <c r="AD43" i="26"/>
  <c r="AG43" i="26"/>
  <c r="AI43" i="26"/>
  <c r="AK43" i="26"/>
  <c r="F44" i="26"/>
  <c r="H44" i="26"/>
  <c r="J44" i="26" s="1"/>
  <c r="L44" i="26"/>
  <c r="N44" i="26"/>
  <c r="P44" i="26"/>
  <c r="R44" i="26"/>
  <c r="T44" i="26"/>
  <c r="V44" i="26"/>
  <c r="X44" i="26"/>
  <c r="Z44" i="26"/>
  <c r="AB44" i="26"/>
  <c r="AF44" i="26"/>
  <c r="AH44" i="26"/>
  <c r="AJ44" i="26"/>
  <c r="M44" i="26"/>
  <c r="Q44" i="26"/>
  <c r="U44" i="26"/>
  <c r="Y44" i="26"/>
  <c r="AC44" i="26"/>
  <c r="AE44" i="26"/>
  <c r="F45" i="26"/>
  <c r="H45" i="26"/>
  <c r="J45" i="26" s="1"/>
  <c r="L45" i="26"/>
  <c r="N45" i="26"/>
  <c r="P45" i="26"/>
  <c r="R45" i="26"/>
  <c r="T45" i="26"/>
  <c r="V45" i="26"/>
  <c r="X45" i="26"/>
  <c r="Z45" i="26"/>
  <c r="AB45" i="26"/>
  <c r="AF45" i="26"/>
  <c r="AH45" i="26"/>
  <c r="AJ45" i="26"/>
  <c r="G45" i="26"/>
  <c r="I45" i="26" s="1"/>
  <c r="K45" i="26"/>
  <c r="O45" i="26"/>
  <c r="S45" i="26"/>
  <c r="W45" i="26"/>
  <c r="AA45" i="26"/>
  <c r="AD45" i="26"/>
  <c r="AG45" i="26"/>
  <c r="AI45" i="26"/>
  <c r="AK45" i="26"/>
  <c r="F46" i="26"/>
  <c r="H46" i="26"/>
  <c r="J46" i="26" s="1"/>
  <c r="L46" i="26"/>
  <c r="N46" i="26"/>
  <c r="P46" i="26"/>
  <c r="R46" i="26"/>
  <c r="T46" i="26"/>
  <c r="V46" i="26"/>
  <c r="X46" i="26"/>
  <c r="Z46" i="26"/>
  <c r="AB46" i="26"/>
  <c r="AF46" i="26"/>
  <c r="AH46" i="26"/>
  <c r="AJ46" i="26"/>
  <c r="M46" i="26"/>
  <c r="Q46" i="26"/>
  <c r="U46" i="26"/>
  <c r="Y46" i="26"/>
  <c r="AC46" i="26"/>
  <c r="AE46" i="26"/>
  <c r="F47" i="26"/>
  <c r="H47" i="26"/>
  <c r="J47" i="26" s="1"/>
  <c r="L47" i="26"/>
  <c r="N47" i="26"/>
  <c r="P47" i="26"/>
  <c r="R47" i="26"/>
  <c r="T47" i="26"/>
  <c r="V47" i="26"/>
  <c r="X47" i="26"/>
  <c r="Z47" i="26"/>
  <c r="AB47" i="26"/>
  <c r="AF47" i="26"/>
  <c r="AH47" i="26"/>
  <c r="AJ47" i="26"/>
  <c r="G47" i="26"/>
  <c r="I47" i="26" s="1"/>
  <c r="K47" i="26"/>
  <c r="O47" i="26"/>
  <c r="S47" i="26"/>
  <c r="W47" i="26"/>
  <c r="AA47" i="26"/>
  <c r="AD47" i="26"/>
  <c r="AG47" i="26"/>
  <c r="AI47" i="26"/>
  <c r="AK47" i="26"/>
  <c r="F48" i="26"/>
  <c r="H48" i="26"/>
  <c r="J48" i="26" s="1"/>
  <c r="L48" i="26"/>
  <c r="N48" i="26"/>
  <c r="P48" i="26"/>
  <c r="R48" i="26"/>
  <c r="T48" i="26"/>
  <c r="V48" i="26"/>
  <c r="X48" i="26"/>
  <c r="Z48" i="26"/>
  <c r="AB48" i="26"/>
  <c r="AF48" i="26"/>
  <c r="AH48" i="26"/>
  <c r="AJ48" i="26"/>
  <c r="M48" i="26"/>
  <c r="Q48" i="26"/>
  <c r="U48" i="26"/>
  <c r="Y48" i="26"/>
  <c r="AC48" i="26"/>
  <c r="AE48" i="26"/>
  <c r="F49" i="26"/>
  <c r="H49" i="26"/>
  <c r="J49" i="26" s="1"/>
  <c r="L49" i="26"/>
  <c r="N49" i="26"/>
  <c r="P49" i="26"/>
  <c r="R49" i="26"/>
  <c r="T49" i="26"/>
  <c r="V49" i="26"/>
  <c r="X49" i="26"/>
  <c r="Z49" i="26"/>
  <c r="AB49" i="26"/>
  <c r="AF49" i="26"/>
  <c r="AH49" i="26"/>
  <c r="AJ49" i="26"/>
  <c r="G49" i="26"/>
  <c r="I49" i="26" s="1"/>
  <c r="K49" i="26"/>
  <c r="O49" i="26"/>
  <c r="S49" i="26"/>
  <c r="W49" i="26"/>
  <c r="AA49" i="26"/>
  <c r="AD49" i="26"/>
  <c r="AG49" i="26"/>
  <c r="AI49" i="26"/>
  <c r="AK49" i="26"/>
  <c r="F50" i="26"/>
  <c r="H50" i="26"/>
  <c r="J50" i="26" s="1"/>
  <c r="L50" i="26"/>
  <c r="N50" i="26"/>
  <c r="P50" i="26"/>
  <c r="R50" i="26"/>
  <c r="T50" i="26"/>
  <c r="X50" i="26"/>
  <c r="Z50" i="26"/>
  <c r="AB50" i="26"/>
  <c r="AF50" i="26"/>
  <c r="AH50" i="26"/>
  <c r="M50" i="26"/>
  <c r="Q50" i="26"/>
  <c r="U50" i="26"/>
  <c r="Y50" i="26"/>
  <c r="AC50" i="26"/>
  <c r="AE50" i="26"/>
  <c r="F51" i="26"/>
  <c r="H51" i="26"/>
  <c r="J51" i="26" s="1"/>
  <c r="L51" i="26"/>
  <c r="N51" i="26"/>
  <c r="P51" i="26"/>
  <c r="R51" i="26"/>
  <c r="T51" i="26"/>
  <c r="V51" i="26"/>
  <c r="X51" i="26"/>
  <c r="Z51" i="26"/>
  <c r="AB51" i="26"/>
  <c r="AF51" i="26"/>
  <c r="AH51" i="26"/>
  <c r="AJ51" i="26"/>
  <c r="G51" i="26"/>
  <c r="I51" i="26" s="1"/>
  <c r="K51" i="26"/>
  <c r="O51" i="26"/>
  <c r="S51" i="26"/>
  <c r="W51" i="26"/>
  <c r="AA51" i="26"/>
  <c r="AD51" i="26"/>
  <c r="AG51" i="26"/>
  <c r="AI51" i="26"/>
  <c r="AK51" i="26"/>
  <c r="F52" i="26"/>
  <c r="H52" i="26"/>
  <c r="J52" i="26" s="1"/>
  <c r="L52" i="26"/>
  <c r="N52" i="26"/>
  <c r="P52" i="26"/>
  <c r="R52" i="26"/>
  <c r="T52" i="26"/>
  <c r="X52" i="26"/>
  <c r="Z52" i="26"/>
  <c r="AB52" i="26"/>
  <c r="AF52" i="26"/>
  <c r="AH52" i="26"/>
  <c r="M52" i="26"/>
  <c r="Q52" i="26"/>
  <c r="U52" i="26"/>
  <c r="Y52" i="26"/>
  <c r="AC52" i="26"/>
  <c r="AE52" i="26"/>
  <c r="F53" i="26"/>
  <c r="H53" i="26"/>
  <c r="J53" i="26" s="1"/>
  <c r="L53" i="26"/>
  <c r="N53" i="26"/>
  <c r="P53" i="26"/>
  <c r="R53" i="26"/>
  <c r="T53" i="26"/>
  <c r="V53" i="26"/>
  <c r="X53" i="26"/>
  <c r="Z53" i="26"/>
  <c r="AB53" i="26"/>
  <c r="AF53" i="26"/>
  <c r="AH53" i="26"/>
  <c r="AJ53" i="26"/>
  <c r="G53" i="26"/>
  <c r="I53" i="26" s="1"/>
  <c r="K53" i="26"/>
  <c r="O53" i="26"/>
  <c r="S53" i="26"/>
  <c r="W53" i="26"/>
  <c r="AA53" i="26"/>
  <c r="AD53" i="26"/>
  <c r="AG53" i="26"/>
  <c r="AI53" i="26"/>
  <c r="AK53" i="26"/>
  <c r="F54" i="26"/>
  <c r="H54" i="26"/>
  <c r="J54" i="26" s="1"/>
  <c r="L54" i="26"/>
  <c r="N54" i="26"/>
  <c r="P54" i="26"/>
  <c r="R54" i="26"/>
  <c r="T54" i="26"/>
  <c r="V54" i="26"/>
  <c r="X54" i="26"/>
  <c r="Z54" i="26"/>
  <c r="AB54" i="26"/>
  <c r="AF54" i="26"/>
  <c r="AH54" i="26"/>
  <c r="AJ54" i="26"/>
  <c r="M54" i="26"/>
  <c r="Q54" i="26"/>
  <c r="U54" i="26"/>
  <c r="Y54" i="26"/>
  <c r="AC54" i="26"/>
  <c r="AE54" i="26"/>
  <c r="F55" i="26"/>
  <c r="H55" i="26"/>
  <c r="J55" i="26" s="1"/>
  <c r="L55" i="26"/>
  <c r="N55" i="26"/>
  <c r="P55" i="26"/>
  <c r="R55" i="26"/>
  <c r="T55" i="26"/>
  <c r="V55" i="26"/>
  <c r="X55" i="26"/>
  <c r="Z55" i="26"/>
  <c r="AB55" i="26"/>
  <c r="G55" i="26"/>
  <c r="I55" i="26" s="1"/>
  <c r="K55" i="26"/>
  <c r="O55" i="26"/>
  <c r="S55" i="26"/>
  <c r="W55" i="26"/>
  <c r="AA55" i="26"/>
  <c r="AF55" i="26"/>
  <c r="AH55" i="26"/>
  <c r="AJ55" i="26"/>
  <c r="F56" i="26"/>
  <c r="H56" i="26"/>
  <c r="J56" i="26" s="1"/>
  <c r="L56" i="26"/>
  <c r="N56" i="26"/>
  <c r="P56" i="26"/>
  <c r="R56" i="26"/>
  <c r="T56" i="26"/>
  <c r="V56" i="26"/>
  <c r="X56" i="26"/>
  <c r="Z56" i="26"/>
  <c r="AB56" i="26"/>
  <c r="AF56" i="26"/>
  <c r="AH56" i="26"/>
  <c r="AJ56" i="26"/>
  <c r="F57" i="26"/>
  <c r="H57" i="26"/>
  <c r="L57" i="26"/>
  <c r="N57" i="26"/>
  <c r="P57" i="26"/>
  <c r="R57" i="26"/>
  <c r="T57" i="26"/>
  <c r="X57" i="26"/>
  <c r="Z57" i="26"/>
  <c r="AB57" i="26"/>
  <c r="AF57" i="26"/>
  <c r="AH57" i="26"/>
  <c r="F58" i="26"/>
  <c r="H58" i="26"/>
  <c r="J58" i="26" s="1"/>
  <c r="L58" i="26"/>
  <c r="N58" i="26"/>
  <c r="P58" i="26"/>
  <c r="R58" i="26"/>
  <c r="T58" i="26"/>
  <c r="X58" i="26"/>
  <c r="Z58" i="26"/>
  <c r="AB58" i="26"/>
  <c r="AF58" i="26"/>
  <c r="AH58" i="26"/>
  <c r="F59" i="26"/>
  <c r="H59" i="26"/>
  <c r="L59" i="26"/>
  <c r="N59" i="26"/>
  <c r="P59" i="26"/>
  <c r="R59" i="26"/>
  <c r="T59" i="26"/>
  <c r="X59" i="26"/>
  <c r="Z59" i="26"/>
  <c r="AB59" i="26"/>
  <c r="AF59" i="26"/>
  <c r="AH59" i="26"/>
  <c r="F60" i="26"/>
  <c r="H60" i="26"/>
  <c r="J60" i="26" s="1"/>
  <c r="L60" i="26"/>
  <c r="N60" i="26"/>
  <c r="P60" i="26"/>
  <c r="R60" i="26"/>
  <c r="T60" i="26"/>
  <c r="V60" i="26"/>
  <c r="X60" i="26"/>
  <c r="Z60" i="26"/>
  <c r="AB60" i="26"/>
  <c r="AF60" i="26"/>
  <c r="AH60" i="26"/>
  <c r="AJ60" i="26"/>
  <c r="F61" i="26"/>
  <c r="H61" i="26"/>
  <c r="J61" i="26" s="1"/>
  <c r="L61" i="26"/>
  <c r="N61" i="26"/>
  <c r="P61" i="26"/>
  <c r="R61" i="26"/>
  <c r="T61" i="26"/>
  <c r="V61" i="26"/>
  <c r="X61" i="26"/>
  <c r="Z61" i="26"/>
  <c r="AB61" i="26"/>
  <c r="AF61" i="26"/>
  <c r="AH61" i="26"/>
  <c r="AJ61" i="26"/>
  <c r="F62" i="26"/>
  <c r="H62" i="26"/>
  <c r="J62" i="26" s="1"/>
  <c r="L62" i="26"/>
  <c r="N62" i="26"/>
  <c r="P62" i="26"/>
  <c r="R62" i="26"/>
  <c r="T62" i="26"/>
  <c r="X62" i="26"/>
  <c r="Z62" i="26"/>
  <c r="AB62" i="26"/>
  <c r="AF62" i="26"/>
  <c r="AH62" i="26"/>
  <c r="F63" i="26"/>
  <c r="H63" i="26"/>
  <c r="J63" i="26" s="1"/>
  <c r="L63" i="26"/>
  <c r="N63" i="26"/>
  <c r="P63" i="26"/>
  <c r="R63" i="26"/>
  <c r="T63" i="26"/>
  <c r="X63" i="26"/>
  <c r="Z63" i="26"/>
  <c r="AB63" i="26"/>
  <c r="AF63" i="26"/>
  <c r="AH63" i="26"/>
  <c r="F64" i="26"/>
  <c r="H64" i="26"/>
  <c r="J64" i="26" s="1"/>
  <c r="L64" i="26"/>
  <c r="N64" i="26"/>
  <c r="P64" i="26"/>
  <c r="R64" i="26"/>
  <c r="T64" i="26"/>
  <c r="X64" i="26"/>
  <c r="Z64" i="26"/>
  <c r="AB64" i="26"/>
  <c r="AF64" i="26"/>
  <c r="AH64" i="26"/>
  <c r="F65" i="26"/>
  <c r="H65" i="26"/>
  <c r="J65" i="26" s="1"/>
  <c r="L65" i="26"/>
  <c r="N65" i="26"/>
  <c r="P65" i="26"/>
  <c r="R65" i="26"/>
  <c r="T65" i="26"/>
  <c r="V65" i="26"/>
  <c r="X65" i="26"/>
  <c r="Z65" i="26"/>
  <c r="AB65" i="26"/>
  <c r="AF65" i="26"/>
  <c r="AH65" i="26"/>
  <c r="AJ65" i="26"/>
  <c r="F66" i="26"/>
  <c r="H66" i="26"/>
  <c r="J66" i="26" s="1"/>
  <c r="L66" i="26"/>
  <c r="N66" i="26"/>
  <c r="P66" i="26"/>
  <c r="R66" i="26"/>
  <c r="T66" i="26"/>
  <c r="X66" i="26"/>
  <c r="Z66" i="26"/>
  <c r="AB66" i="26"/>
  <c r="AF66" i="26"/>
  <c r="AH66" i="26"/>
  <c r="F67" i="26"/>
  <c r="H67" i="26"/>
  <c r="L67" i="26"/>
  <c r="N67" i="26"/>
  <c r="P67" i="26"/>
  <c r="R67" i="26"/>
  <c r="T67" i="26"/>
  <c r="X67" i="26"/>
  <c r="Z67" i="26"/>
  <c r="AB67" i="26"/>
  <c r="AF67" i="26"/>
  <c r="AH67" i="26"/>
  <c r="F68" i="26"/>
  <c r="H68" i="26"/>
  <c r="J68" i="26" s="1"/>
  <c r="L68" i="26"/>
  <c r="N68" i="26"/>
  <c r="P68" i="26"/>
  <c r="R68" i="26"/>
  <c r="T68" i="26"/>
  <c r="X68" i="26"/>
  <c r="Z68" i="26"/>
  <c r="AB68" i="26"/>
  <c r="AF68" i="26"/>
  <c r="AH68" i="26"/>
  <c r="F69" i="26"/>
  <c r="H69" i="26"/>
  <c r="L69" i="26"/>
  <c r="N69" i="26"/>
  <c r="P69" i="26"/>
  <c r="R69" i="26"/>
  <c r="T69" i="26"/>
  <c r="X69" i="26"/>
  <c r="Z69" i="26"/>
  <c r="AB69" i="26"/>
  <c r="AF69" i="26"/>
  <c r="AH69" i="26"/>
  <c r="F70" i="26"/>
  <c r="H70" i="26"/>
  <c r="J70" i="26" s="1"/>
  <c r="L70" i="26"/>
  <c r="N70" i="26"/>
  <c r="P70" i="26"/>
  <c r="R70" i="26"/>
  <c r="T70" i="26"/>
  <c r="X70" i="26"/>
  <c r="Z70" i="26"/>
  <c r="AB70" i="26"/>
  <c r="AF70" i="26"/>
  <c r="AH70" i="26"/>
  <c r="F71" i="26"/>
  <c r="H71" i="26"/>
  <c r="J71" i="26" s="1"/>
  <c r="L71" i="26"/>
  <c r="N71" i="26"/>
  <c r="P71" i="26"/>
  <c r="R71" i="26"/>
  <c r="T71" i="26"/>
  <c r="V71" i="26"/>
  <c r="X71" i="26"/>
  <c r="Z71" i="26"/>
  <c r="AB71" i="26"/>
  <c r="AF71" i="26"/>
  <c r="AH71" i="26"/>
  <c r="AJ71" i="26"/>
  <c r="F72" i="26"/>
  <c r="H72" i="26"/>
  <c r="J72" i="26" s="1"/>
  <c r="L72" i="26"/>
  <c r="N72" i="26"/>
  <c r="P72" i="26"/>
  <c r="R72" i="26"/>
  <c r="T72" i="26"/>
  <c r="V72" i="26"/>
  <c r="X72" i="26"/>
  <c r="Z72" i="26"/>
  <c r="AB72" i="26"/>
  <c r="AF72" i="26"/>
  <c r="AH72" i="26"/>
  <c r="AJ72" i="26"/>
  <c r="F73" i="26"/>
  <c r="H73" i="26"/>
  <c r="J73" i="26" s="1"/>
  <c r="L73" i="26"/>
  <c r="N73" i="26"/>
  <c r="P73" i="26"/>
  <c r="R73" i="26"/>
  <c r="T73" i="26"/>
  <c r="V73" i="26"/>
  <c r="X73" i="26"/>
  <c r="Z73" i="26"/>
  <c r="AB73" i="26"/>
  <c r="AF73" i="26"/>
  <c r="AH73" i="26"/>
  <c r="AJ73" i="26"/>
  <c r="F74" i="26"/>
  <c r="H74" i="26"/>
  <c r="J74" i="26" s="1"/>
  <c r="L74" i="26"/>
  <c r="N74" i="26"/>
  <c r="P74" i="26"/>
  <c r="R74" i="26"/>
  <c r="T74" i="26"/>
  <c r="X74" i="26"/>
  <c r="Z74" i="26"/>
  <c r="AB74" i="26"/>
  <c r="AF74" i="26"/>
  <c r="AH74" i="26"/>
  <c r="F75" i="26"/>
  <c r="H75" i="26"/>
  <c r="J75" i="26" s="1"/>
  <c r="L75" i="26"/>
  <c r="N75" i="26"/>
  <c r="P75" i="26"/>
  <c r="R75" i="26"/>
  <c r="T75" i="26"/>
  <c r="V75" i="26"/>
  <c r="X75" i="26"/>
  <c r="Z75" i="26"/>
  <c r="AB75" i="26"/>
  <c r="AF75" i="26"/>
  <c r="AH75" i="26"/>
  <c r="AJ75" i="26"/>
  <c r="F76" i="26"/>
  <c r="H76" i="26"/>
  <c r="J76" i="26" s="1"/>
  <c r="L76" i="26"/>
  <c r="N76" i="26"/>
  <c r="P76" i="26"/>
  <c r="R76" i="26"/>
  <c r="T76" i="26"/>
  <c r="V76" i="26"/>
  <c r="X76" i="26"/>
  <c r="Z76" i="26"/>
  <c r="AB76" i="26"/>
  <c r="AF76" i="26"/>
  <c r="AH76" i="26"/>
  <c r="AJ76" i="26"/>
  <c r="F77" i="26"/>
  <c r="H77" i="26"/>
  <c r="L77" i="26"/>
  <c r="N77" i="26"/>
  <c r="P77" i="26"/>
  <c r="R77" i="26"/>
  <c r="T77" i="26"/>
  <c r="X77" i="26"/>
  <c r="Z77" i="26"/>
  <c r="AB77" i="26"/>
  <c r="AF77" i="26"/>
  <c r="AH77" i="26"/>
  <c r="F78" i="26"/>
  <c r="H78" i="26"/>
  <c r="J78" i="26" s="1"/>
  <c r="L78" i="26"/>
  <c r="N78" i="26"/>
  <c r="P78" i="26"/>
  <c r="R78" i="26"/>
  <c r="T78" i="26"/>
  <c r="X78" i="26"/>
  <c r="Z78" i="26"/>
  <c r="AB78" i="26"/>
  <c r="AF78" i="26"/>
  <c r="AH78" i="26"/>
  <c r="F79" i="26"/>
  <c r="H79" i="26"/>
  <c r="J79" i="26" s="1"/>
  <c r="L79" i="26"/>
  <c r="N79" i="26"/>
  <c r="P79" i="26"/>
  <c r="R79" i="26"/>
  <c r="T79" i="26"/>
  <c r="V79" i="26"/>
  <c r="X79" i="26"/>
  <c r="Z79" i="26"/>
  <c r="AB79" i="26"/>
  <c r="AF79" i="26"/>
  <c r="AH79" i="26"/>
  <c r="AJ79" i="26"/>
  <c r="F80" i="26"/>
  <c r="H80" i="26"/>
  <c r="J80" i="26" s="1"/>
  <c r="L80" i="26"/>
  <c r="N80" i="26"/>
  <c r="P80" i="26"/>
  <c r="R80" i="26"/>
  <c r="T80" i="26"/>
  <c r="X80" i="26"/>
  <c r="Z80" i="26"/>
  <c r="AB80" i="26"/>
  <c r="AF80" i="26"/>
  <c r="AH80" i="26"/>
  <c r="F81" i="26"/>
  <c r="H81" i="26"/>
  <c r="J81" i="26" s="1"/>
  <c r="L81" i="26"/>
  <c r="N81" i="26"/>
  <c r="P81" i="26"/>
  <c r="R81" i="26"/>
  <c r="T81" i="26"/>
  <c r="V81" i="26"/>
  <c r="X81" i="26"/>
  <c r="Z81" i="26"/>
  <c r="AB81" i="26"/>
  <c r="AF81" i="26"/>
  <c r="AH81" i="26"/>
  <c r="AJ81" i="26"/>
  <c r="F82" i="26"/>
  <c r="H82" i="26"/>
  <c r="J82" i="26" s="1"/>
  <c r="L82" i="26"/>
  <c r="N82" i="26"/>
  <c r="P82" i="26"/>
  <c r="R82" i="26"/>
  <c r="T82" i="26"/>
  <c r="X82" i="26"/>
  <c r="Z82" i="26"/>
  <c r="AB82" i="26"/>
  <c r="AF82" i="26"/>
  <c r="AH82" i="26"/>
  <c r="F83" i="26"/>
  <c r="H83" i="26"/>
  <c r="J83" i="26" s="1"/>
  <c r="L83" i="26"/>
  <c r="N83" i="26"/>
  <c r="P83" i="26"/>
  <c r="R83" i="26"/>
  <c r="T83" i="26"/>
  <c r="V83" i="26"/>
  <c r="X83" i="26"/>
  <c r="Z83" i="26"/>
  <c r="AB83" i="26"/>
  <c r="AF83" i="26"/>
  <c r="AH83" i="26"/>
  <c r="AJ83" i="26"/>
  <c r="F84" i="26"/>
  <c r="H84" i="26"/>
  <c r="J84" i="26" s="1"/>
  <c r="L84" i="26"/>
  <c r="N84" i="26"/>
  <c r="P84" i="26"/>
  <c r="R84" i="26"/>
  <c r="T84" i="26"/>
  <c r="V84" i="26"/>
  <c r="X84" i="26"/>
  <c r="Z84" i="26"/>
  <c r="AB84" i="26"/>
  <c r="AF84" i="26"/>
  <c r="AH84" i="26"/>
  <c r="AJ84" i="26"/>
  <c r="F85" i="26"/>
  <c r="H85" i="26"/>
  <c r="J85" i="26" s="1"/>
  <c r="L85" i="26"/>
  <c r="N85" i="26"/>
  <c r="P85" i="26"/>
  <c r="R85" i="26"/>
  <c r="T85" i="26"/>
  <c r="V85" i="26"/>
  <c r="X85" i="26"/>
  <c r="Z85" i="26"/>
  <c r="AB85" i="26"/>
  <c r="AF85" i="26"/>
  <c r="AH85" i="26"/>
  <c r="AJ85" i="26"/>
  <c r="F86" i="26"/>
  <c r="H86" i="26"/>
  <c r="J86" i="26" s="1"/>
  <c r="L86" i="26"/>
  <c r="N86" i="26"/>
  <c r="P86" i="26"/>
  <c r="R86" i="26"/>
  <c r="T86" i="26"/>
  <c r="X86" i="26"/>
  <c r="Z86" i="26"/>
  <c r="AB86" i="26"/>
  <c r="AF86" i="26"/>
  <c r="AH86" i="26"/>
  <c r="F87" i="26"/>
  <c r="H87" i="26"/>
  <c r="J87" i="26" s="1"/>
  <c r="L87" i="26"/>
  <c r="N87" i="26"/>
  <c r="P87" i="26"/>
  <c r="R87" i="26"/>
  <c r="T87" i="26"/>
  <c r="X87" i="26"/>
  <c r="Z87" i="26"/>
  <c r="AB87" i="26"/>
  <c r="AF87" i="26"/>
  <c r="AH87" i="26"/>
  <c r="F88" i="26"/>
  <c r="H88" i="26"/>
  <c r="J88" i="26" s="1"/>
  <c r="L88" i="26"/>
  <c r="N88" i="26"/>
  <c r="P88" i="26"/>
  <c r="R88" i="26"/>
  <c r="T88" i="26"/>
  <c r="X88" i="26"/>
  <c r="Z88" i="26"/>
  <c r="AB88" i="26"/>
  <c r="AF88" i="26"/>
  <c r="AH88" i="26"/>
  <c r="F89" i="26"/>
  <c r="H89" i="26"/>
  <c r="J89" i="26" s="1"/>
  <c r="L89" i="26"/>
  <c r="N89" i="26"/>
  <c r="P89" i="26"/>
  <c r="R89" i="26"/>
  <c r="T89" i="26"/>
  <c r="V89" i="26"/>
  <c r="X89" i="26"/>
  <c r="Z89" i="26"/>
  <c r="AB89" i="26"/>
  <c r="AF89" i="26"/>
  <c r="AH89" i="26"/>
  <c r="AJ89" i="26"/>
  <c r="F90" i="26"/>
  <c r="H90" i="26"/>
  <c r="J90" i="26" s="1"/>
  <c r="L90" i="26"/>
  <c r="N90" i="26"/>
  <c r="P90" i="26"/>
  <c r="R90" i="26"/>
  <c r="T90" i="26"/>
  <c r="V90" i="26"/>
  <c r="X90" i="26"/>
  <c r="Z90" i="26"/>
  <c r="AB90" i="26"/>
  <c r="AF90" i="26"/>
  <c r="AH90" i="26"/>
  <c r="AJ90" i="26"/>
  <c r="F91" i="26"/>
  <c r="H91" i="26"/>
  <c r="J91" i="26" s="1"/>
  <c r="L91" i="26"/>
  <c r="N91" i="26"/>
  <c r="P91" i="26"/>
  <c r="R91" i="26"/>
  <c r="T91" i="26"/>
  <c r="V91" i="26"/>
  <c r="X91" i="26"/>
  <c r="Z91" i="26"/>
  <c r="AB91" i="26"/>
  <c r="AF91" i="26"/>
  <c r="AH91" i="26"/>
  <c r="AJ91" i="26"/>
  <c r="F92" i="26"/>
  <c r="H92" i="26"/>
  <c r="J92" i="26" s="1"/>
  <c r="L92" i="26"/>
  <c r="N92" i="26"/>
  <c r="P92" i="26"/>
  <c r="R92" i="26"/>
  <c r="T92" i="26"/>
  <c r="V92" i="26"/>
  <c r="X92" i="26"/>
  <c r="Z92" i="26"/>
  <c r="AB92" i="26"/>
  <c r="AF92" i="26"/>
  <c r="AH92" i="26"/>
  <c r="AJ92" i="26"/>
  <c r="F93" i="26"/>
  <c r="H93" i="26"/>
  <c r="J93" i="26" s="1"/>
  <c r="L93" i="26"/>
  <c r="N93" i="26"/>
  <c r="P93" i="26"/>
  <c r="R93" i="26"/>
  <c r="T93" i="26"/>
  <c r="V93" i="26"/>
  <c r="X93" i="26"/>
  <c r="Z93" i="26"/>
  <c r="AB93" i="26"/>
  <c r="AF93" i="26"/>
  <c r="AH93" i="26"/>
  <c r="AJ93" i="26"/>
  <c r="F94" i="26"/>
  <c r="H94" i="26"/>
  <c r="J94" i="26" s="1"/>
  <c r="L94" i="26"/>
  <c r="N94" i="26"/>
  <c r="P94" i="26"/>
  <c r="R94" i="26"/>
  <c r="T94" i="26"/>
  <c r="V94" i="26"/>
  <c r="X94" i="26"/>
  <c r="Z94" i="26"/>
  <c r="AB94" i="26"/>
  <c r="AF94" i="26"/>
  <c r="AH94" i="26"/>
  <c r="AJ94" i="26"/>
  <c r="F95" i="26"/>
  <c r="H95" i="26"/>
  <c r="J95" i="26" s="1"/>
  <c r="L95" i="26"/>
  <c r="N95" i="26"/>
  <c r="P95" i="26"/>
  <c r="R95" i="26"/>
  <c r="T95" i="26"/>
  <c r="V95" i="26"/>
  <c r="X95" i="26"/>
  <c r="Z95" i="26"/>
  <c r="AB95" i="26"/>
  <c r="AF95" i="26"/>
  <c r="AH95" i="26"/>
  <c r="AJ95" i="26"/>
  <c r="F96" i="26"/>
  <c r="H96" i="26"/>
  <c r="J96" i="26" s="1"/>
  <c r="L96" i="26"/>
  <c r="N96" i="26"/>
  <c r="P96" i="26"/>
  <c r="R96" i="26"/>
  <c r="T96" i="26"/>
  <c r="V96" i="26"/>
  <c r="X96" i="26"/>
  <c r="Z96" i="26"/>
  <c r="AB96" i="26"/>
  <c r="AF96" i="26"/>
  <c r="AH96" i="26"/>
  <c r="AJ96" i="26"/>
  <c r="F97" i="26"/>
  <c r="H97" i="26"/>
  <c r="J97" i="26" s="1"/>
  <c r="L97" i="26"/>
  <c r="N97" i="26"/>
  <c r="P97" i="26"/>
  <c r="R97" i="26"/>
  <c r="T97" i="26"/>
  <c r="V97" i="26"/>
  <c r="X97" i="26"/>
  <c r="Z97" i="26"/>
  <c r="AB97" i="26"/>
  <c r="AF97" i="26"/>
  <c r="AH97" i="26"/>
  <c r="AJ97" i="26"/>
  <c r="F98" i="26"/>
  <c r="H98" i="26"/>
  <c r="J98" i="26" s="1"/>
  <c r="L98" i="26"/>
  <c r="N98" i="26"/>
  <c r="P98" i="26"/>
  <c r="R98" i="26"/>
  <c r="T98" i="26"/>
  <c r="V98" i="26"/>
  <c r="X98" i="26"/>
  <c r="Z98" i="26"/>
  <c r="AB98" i="26"/>
  <c r="AF98" i="26"/>
  <c r="AH98" i="26"/>
  <c r="AJ98" i="26"/>
  <c r="F99" i="26"/>
  <c r="H99" i="26"/>
  <c r="J99" i="26" s="1"/>
  <c r="L99" i="26"/>
  <c r="N99" i="26"/>
  <c r="P99" i="26"/>
  <c r="R99" i="26"/>
  <c r="T99" i="26"/>
  <c r="V99" i="26"/>
  <c r="X99" i="26"/>
  <c r="Z99" i="26"/>
  <c r="AB99" i="26"/>
  <c r="AF99" i="26"/>
  <c r="AH99" i="26"/>
  <c r="AJ99" i="26"/>
  <c r="F100" i="26"/>
  <c r="H100" i="26"/>
  <c r="J100" i="26" s="1"/>
  <c r="L100" i="26"/>
  <c r="N100" i="26"/>
  <c r="P100" i="26"/>
  <c r="R100" i="26"/>
  <c r="T100" i="26"/>
  <c r="V100" i="26"/>
  <c r="X100" i="26"/>
  <c r="Z100" i="26"/>
  <c r="AB100" i="26"/>
  <c r="AF100" i="26"/>
  <c r="AH100" i="26"/>
  <c r="AJ100" i="26"/>
  <c r="F101" i="26"/>
  <c r="H101" i="26"/>
  <c r="J101" i="26" s="1"/>
  <c r="L101" i="26"/>
  <c r="N101" i="26"/>
  <c r="P101" i="26"/>
  <c r="R101" i="26"/>
  <c r="T101" i="26"/>
  <c r="V101" i="26"/>
  <c r="X101" i="26"/>
  <c r="Z101" i="26"/>
  <c r="AB101" i="26"/>
  <c r="AF101" i="26"/>
  <c r="AH101" i="26"/>
  <c r="AJ101" i="26"/>
  <c r="F102" i="26"/>
  <c r="H102" i="26"/>
  <c r="J102" i="26" s="1"/>
  <c r="L102" i="26"/>
  <c r="N102" i="26"/>
  <c r="P102" i="26"/>
  <c r="R102" i="26"/>
  <c r="T102" i="26"/>
  <c r="V102" i="26"/>
  <c r="X102" i="26"/>
  <c r="Z102" i="26"/>
  <c r="AB102" i="26"/>
  <c r="AF102" i="26"/>
  <c r="AH102" i="26"/>
  <c r="AJ102" i="26"/>
  <c r="F103" i="26"/>
  <c r="H103" i="26"/>
  <c r="J103" i="26" s="1"/>
  <c r="L103" i="26"/>
  <c r="N103" i="26"/>
  <c r="P103" i="26"/>
  <c r="R103" i="26"/>
  <c r="T103" i="26"/>
  <c r="V103" i="26"/>
  <c r="X103" i="26"/>
  <c r="Z103" i="26"/>
  <c r="AB103" i="26"/>
  <c r="AF103" i="26"/>
  <c r="AH103" i="26"/>
  <c r="AJ103" i="26"/>
  <c r="F104" i="26"/>
  <c r="H104" i="26"/>
  <c r="J104" i="26" s="1"/>
  <c r="L104" i="26"/>
  <c r="N104" i="26"/>
  <c r="P104" i="26"/>
  <c r="R104" i="26"/>
  <c r="T104" i="26"/>
  <c r="V104" i="26"/>
  <c r="AJ106" i="26"/>
  <c r="AH106" i="26"/>
  <c r="AF106" i="26"/>
  <c r="AB106" i="26"/>
  <c r="Z106" i="26"/>
  <c r="X106" i="26"/>
  <c r="V106" i="26"/>
  <c r="T106" i="26"/>
  <c r="R106" i="26"/>
  <c r="P106" i="26"/>
  <c r="N106" i="26"/>
  <c r="L106" i="26"/>
  <c r="H106" i="26"/>
  <c r="J106" i="26" s="1"/>
  <c r="F106" i="26"/>
  <c r="AJ105" i="26"/>
  <c r="AH105" i="26"/>
  <c r="AF105" i="26"/>
  <c r="AB105" i="26"/>
  <c r="Z105" i="26"/>
  <c r="X105" i="26"/>
  <c r="V105" i="26"/>
  <c r="T105" i="26"/>
  <c r="R105" i="26"/>
  <c r="P105" i="26"/>
  <c r="N105" i="26"/>
  <c r="L105" i="26"/>
  <c r="H105" i="26"/>
  <c r="J105" i="26" s="1"/>
  <c r="F105" i="26"/>
  <c r="AJ104" i="26"/>
  <c r="AH104" i="26"/>
  <c r="AF104" i="26"/>
  <c r="AB104" i="26"/>
  <c r="Z104" i="26"/>
  <c r="X104" i="26"/>
  <c r="U104" i="26"/>
  <c r="Q104" i="26"/>
  <c r="M104" i="26"/>
  <c r="AK103" i="26"/>
  <c r="AI103" i="26"/>
  <c r="AG103" i="26"/>
  <c r="AD103" i="26"/>
  <c r="AA103" i="26"/>
  <c r="W103" i="26"/>
  <c r="S103" i="26"/>
  <c r="O103" i="26"/>
  <c r="K103" i="26"/>
  <c r="G103" i="26"/>
  <c r="I103" i="26" s="1"/>
  <c r="AE102" i="26"/>
  <c r="AC102" i="26"/>
  <c r="Y102" i="26"/>
  <c r="U102" i="26"/>
  <c r="Q102" i="26"/>
  <c r="M102" i="26"/>
  <c r="AK101" i="26"/>
  <c r="AI101" i="26"/>
  <c r="AG101" i="26"/>
  <c r="AD101" i="26"/>
  <c r="AA101" i="26"/>
  <c r="W101" i="26"/>
  <c r="S101" i="26"/>
  <c r="O101" i="26"/>
  <c r="K101" i="26"/>
  <c r="G101" i="26"/>
  <c r="I101" i="26" s="1"/>
  <c r="AE100" i="26"/>
  <c r="AC100" i="26"/>
  <c r="Y100" i="26"/>
  <c r="U100" i="26"/>
  <c r="Q100" i="26"/>
  <c r="M100" i="26"/>
  <c r="AK99" i="26"/>
  <c r="AI99" i="26"/>
  <c r="AG99" i="26"/>
  <c r="AD99" i="26"/>
  <c r="AA99" i="26"/>
  <c r="W99" i="26"/>
  <c r="S99" i="26"/>
  <c r="O99" i="26"/>
  <c r="K99" i="26"/>
  <c r="G99" i="26"/>
  <c r="I99" i="26" s="1"/>
  <c r="AE98" i="26"/>
  <c r="AC98" i="26"/>
  <c r="Y98" i="26"/>
  <c r="U98" i="26"/>
  <c r="Q98" i="26"/>
  <c r="M98" i="26"/>
  <c r="AK97" i="26"/>
  <c r="AI97" i="26"/>
  <c r="AG97" i="26"/>
  <c r="AD97" i="26"/>
  <c r="AA97" i="26"/>
  <c r="W97" i="26"/>
  <c r="S97" i="26"/>
  <c r="O97" i="26"/>
  <c r="K97" i="26"/>
  <c r="G97" i="26"/>
  <c r="I97" i="26" s="1"/>
  <c r="AE96" i="26"/>
  <c r="AC96" i="26"/>
  <c r="Y96" i="26"/>
  <c r="U96" i="26"/>
  <c r="Q96" i="26"/>
  <c r="M96" i="26"/>
  <c r="AK95" i="26"/>
  <c r="AI95" i="26"/>
  <c r="AG95" i="26"/>
  <c r="AD95" i="26"/>
  <c r="AA95" i="26"/>
  <c r="W95" i="26"/>
  <c r="S95" i="26"/>
  <c r="O95" i="26"/>
  <c r="K95" i="26"/>
  <c r="G95" i="26"/>
  <c r="I95" i="26" s="1"/>
  <c r="AE94" i="26"/>
  <c r="AC94" i="26"/>
  <c r="Y94" i="26"/>
  <c r="U94" i="26"/>
  <c r="Q94" i="26"/>
  <c r="M94" i="26"/>
  <c r="AK93" i="26"/>
  <c r="AI93" i="26"/>
  <c r="AG93" i="26"/>
  <c r="AD93" i="26"/>
  <c r="AA93" i="26"/>
  <c r="W93" i="26"/>
  <c r="S93" i="26"/>
  <c r="O93" i="26"/>
  <c r="K93" i="26"/>
  <c r="G93" i="26"/>
  <c r="I93" i="26" s="1"/>
  <c r="AE92" i="26"/>
  <c r="AC92" i="26"/>
  <c r="Y92" i="26"/>
  <c r="U92" i="26"/>
  <c r="Q92" i="26"/>
  <c r="M92" i="26"/>
  <c r="AK91" i="26"/>
  <c r="AI91" i="26"/>
  <c r="AG91" i="26"/>
  <c r="AD91" i="26"/>
  <c r="AA91" i="26"/>
  <c r="W91" i="26"/>
  <c r="S91" i="26"/>
  <c r="O91" i="26"/>
  <c r="K91" i="26"/>
  <c r="G91" i="26"/>
  <c r="I91" i="26" s="1"/>
  <c r="AE90" i="26"/>
  <c r="AC90" i="26"/>
  <c r="Y90" i="26"/>
  <c r="U90" i="26"/>
  <c r="Q90" i="26"/>
  <c r="M90" i="26"/>
  <c r="AK89" i="26"/>
  <c r="AI89" i="26"/>
  <c r="AG89" i="26"/>
  <c r="AD89" i="26"/>
  <c r="AA89" i="26"/>
  <c r="W89" i="26"/>
  <c r="S89" i="26"/>
  <c r="O89" i="26"/>
  <c r="K89" i="26"/>
  <c r="G89" i="26"/>
  <c r="I89" i="26" s="1"/>
  <c r="AE88" i="26"/>
  <c r="AC88" i="26"/>
  <c r="Y88" i="26"/>
  <c r="U88" i="26"/>
  <c r="Q88" i="26"/>
  <c r="M88" i="26"/>
  <c r="AK87" i="26"/>
  <c r="AI87" i="26"/>
  <c r="AG87" i="26"/>
  <c r="AD87" i="26"/>
  <c r="AA87" i="26"/>
  <c r="W87" i="26"/>
  <c r="S87" i="26"/>
  <c r="O87" i="26"/>
  <c r="K87" i="26"/>
  <c r="G87" i="26"/>
  <c r="I87" i="26" s="1"/>
  <c r="AE86" i="26"/>
  <c r="AC86" i="26"/>
  <c r="Y86" i="26"/>
  <c r="U86" i="26"/>
  <c r="Q86" i="26"/>
  <c r="M86" i="26"/>
  <c r="AK85" i="26"/>
  <c r="AI85" i="26"/>
  <c r="AG85" i="26"/>
  <c r="AD85" i="26"/>
  <c r="AA85" i="26"/>
  <c r="W85" i="26"/>
  <c r="S85" i="26"/>
  <c r="O85" i="26"/>
  <c r="K85" i="26"/>
  <c r="G85" i="26"/>
  <c r="I85" i="26" s="1"/>
  <c r="AE84" i="26"/>
  <c r="AC84" i="26"/>
  <c r="Y84" i="26"/>
  <c r="U84" i="26"/>
  <c r="Q84" i="26"/>
  <c r="M84" i="26"/>
  <c r="AK83" i="26"/>
  <c r="AI83" i="26"/>
  <c r="AG83" i="26"/>
  <c r="AD83" i="26"/>
  <c r="AA83" i="26"/>
  <c r="W83" i="26"/>
  <c r="S83" i="26"/>
  <c r="O83" i="26"/>
  <c r="K83" i="26"/>
  <c r="G83" i="26"/>
  <c r="I83" i="26" s="1"/>
  <c r="AE82" i="26"/>
  <c r="AC82" i="26"/>
  <c r="Y82" i="26"/>
  <c r="U82" i="26"/>
  <c r="Q82" i="26"/>
  <c r="M82" i="26"/>
  <c r="AK81" i="26"/>
  <c r="AI81" i="26"/>
  <c r="AG81" i="26"/>
  <c r="AD81" i="26"/>
  <c r="AA81" i="26"/>
  <c r="W81" i="26"/>
  <c r="S81" i="26"/>
  <c r="O81" i="26"/>
  <c r="K81" i="26"/>
  <c r="G81" i="26"/>
  <c r="I81" i="26" s="1"/>
  <c r="AE80" i="26"/>
  <c r="AC80" i="26"/>
  <c r="Y80" i="26"/>
  <c r="U80" i="26"/>
  <c r="Q80" i="26"/>
  <c r="M80" i="26"/>
  <c r="AK79" i="26"/>
  <c r="AI79" i="26"/>
  <c r="AG79" i="26"/>
  <c r="AD79" i="26"/>
  <c r="AA79" i="26"/>
  <c r="W79" i="26"/>
  <c r="S79" i="26"/>
  <c r="O79" i="26"/>
  <c r="K79" i="26"/>
  <c r="G79" i="26"/>
  <c r="I79" i="26" s="1"/>
  <c r="AE78" i="26"/>
  <c r="AC78" i="26"/>
  <c r="Y78" i="26"/>
  <c r="U78" i="26"/>
  <c r="Q78" i="26"/>
  <c r="M78" i="26"/>
  <c r="AK77" i="26"/>
  <c r="AI77" i="26"/>
  <c r="AG77" i="26"/>
  <c r="AD77" i="26"/>
  <c r="AA77" i="26"/>
  <c r="W77" i="26"/>
  <c r="S77" i="26"/>
  <c r="O77" i="26"/>
  <c r="K77" i="26"/>
  <c r="G77" i="26"/>
  <c r="I77" i="26" s="1"/>
  <c r="AE76" i="26"/>
  <c r="AC76" i="26"/>
  <c r="Y76" i="26"/>
  <c r="U76" i="26"/>
  <c r="Q76" i="26"/>
  <c r="M76" i="26"/>
  <c r="AK75" i="26"/>
  <c r="AI75" i="26"/>
  <c r="AG75" i="26"/>
  <c r="AD75" i="26"/>
  <c r="AA75" i="26"/>
  <c r="W75" i="26"/>
  <c r="S75" i="26"/>
  <c r="O75" i="26"/>
  <c r="K75" i="26"/>
  <c r="G75" i="26"/>
  <c r="I75" i="26" s="1"/>
  <c r="AE74" i="26"/>
  <c r="AC74" i="26"/>
  <c r="Y74" i="26"/>
  <c r="U74" i="26"/>
  <c r="Q74" i="26"/>
  <c r="M74" i="26"/>
  <c r="AK73" i="26"/>
  <c r="AI73" i="26"/>
  <c r="AG73" i="26"/>
  <c r="AD73" i="26"/>
  <c r="AA73" i="26"/>
  <c r="W73" i="26"/>
  <c r="S73" i="26"/>
  <c r="O73" i="26"/>
  <c r="K73" i="26"/>
  <c r="G73" i="26"/>
  <c r="I73" i="26" s="1"/>
  <c r="AE72" i="26"/>
  <c r="AC72" i="26"/>
  <c r="Y72" i="26"/>
  <c r="U72" i="26"/>
  <c r="Q72" i="26"/>
  <c r="M72" i="26"/>
  <c r="AK71" i="26"/>
  <c r="AI71" i="26"/>
  <c r="AG71" i="26"/>
  <c r="AD71" i="26"/>
  <c r="AA71" i="26"/>
  <c r="W71" i="26"/>
  <c r="S71" i="26"/>
  <c r="O71" i="26"/>
  <c r="K71" i="26"/>
  <c r="G71" i="26"/>
  <c r="I71" i="26" s="1"/>
  <c r="AE70" i="26"/>
  <c r="AC70" i="26"/>
  <c r="Y70" i="26"/>
  <c r="U70" i="26"/>
  <c r="Q70" i="26"/>
  <c r="M70" i="26"/>
  <c r="AK69" i="26"/>
  <c r="AI69" i="26"/>
  <c r="AG69" i="26"/>
  <c r="AD69" i="26"/>
  <c r="AA69" i="26"/>
  <c r="W69" i="26"/>
  <c r="S69" i="26"/>
  <c r="O69" i="26"/>
  <c r="K69" i="26"/>
  <c r="G69" i="26"/>
  <c r="I69" i="26" s="1"/>
  <c r="AE68" i="26"/>
  <c r="AC68" i="26"/>
  <c r="Y68" i="26"/>
  <c r="U68" i="26"/>
  <c r="Q68" i="26"/>
  <c r="M68" i="26"/>
  <c r="AK67" i="26"/>
  <c r="AI67" i="26"/>
  <c r="AG67" i="26"/>
  <c r="AD67" i="26"/>
  <c r="AA67" i="26"/>
  <c r="W67" i="26"/>
  <c r="S67" i="26"/>
  <c r="O67" i="26"/>
  <c r="K67" i="26"/>
  <c r="G67" i="26"/>
  <c r="I67" i="26" s="1"/>
  <c r="AE66" i="26"/>
  <c r="AC66" i="26"/>
  <c r="Y66" i="26"/>
  <c r="U66" i="26"/>
  <c r="Q66" i="26"/>
  <c r="M66" i="26"/>
  <c r="AK65" i="26"/>
  <c r="AI65" i="26"/>
  <c r="AG65" i="26"/>
  <c r="AD65" i="26"/>
  <c r="AA65" i="26"/>
  <c r="W65" i="26"/>
  <c r="S65" i="26"/>
  <c r="O65" i="26"/>
  <c r="K65" i="26"/>
  <c r="G65" i="26"/>
  <c r="I65" i="26" s="1"/>
  <c r="AE64" i="26"/>
  <c r="AC64" i="26"/>
  <c r="Y64" i="26"/>
  <c r="U64" i="26"/>
  <c r="Q64" i="26"/>
  <c r="M64" i="26"/>
  <c r="AK63" i="26"/>
  <c r="AI63" i="26"/>
  <c r="AG63" i="26"/>
  <c r="AD63" i="26"/>
  <c r="AA63" i="26"/>
  <c r="W63" i="26"/>
  <c r="S63" i="26"/>
  <c r="O63" i="26"/>
  <c r="K63" i="26"/>
  <c r="G63" i="26"/>
  <c r="I63" i="26" s="1"/>
  <c r="AE62" i="26"/>
  <c r="AC62" i="26"/>
  <c r="Y62" i="26"/>
  <c r="U62" i="26"/>
  <c r="Q62" i="26"/>
  <c r="M62" i="26"/>
  <c r="AK61" i="26"/>
  <c r="AI61" i="26"/>
  <c r="AG61" i="26"/>
  <c r="AD61" i="26"/>
  <c r="AA61" i="26"/>
  <c r="W61" i="26"/>
  <c r="S61" i="26"/>
  <c r="O61" i="26"/>
  <c r="K61" i="26"/>
  <c r="G61" i="26"/>
  <c r="I61" i="26" s="1"/>
  <c r="AE60" i="26"/>
  <c r="AC60" i="26"/>
  <c r="Y60" i="26"/>
  <c r="U60" i="26"/>
  <c r="Q60" i="26"/>
  <c r="M60" i="26"/>
  <c r="AK59" i="26"/>
  <c r="AI59" i="26"/>
  <c r="AG59" i="26"/>
  <c r="AD59" i="26"/>
  <c r="AA59" i="26"/>
  <c r="W59" i="26"/>
  <c r="S59" i="26"/>
  <c r="O59" i="26"/>
  <c r="K59" i="26"/>
  <c r="G59" i="26"/>
  <c r="I59" i="26" s="1"/>
  <c r="AE58" i="26"/>
  <c r="AC58" i="26"/>
  <c r="Y58" i="26"/>
  <c r="U58" i="26"/>
  <c r="Q58" i="26"/>
  <c r="M58" i="26"/>
  <c r="AK57" i="26"/>
  <c r="AI57" i="26"/>
  <c r="AG57" i="26"/>
  <c r="AD57" i="26"/>
  <c r="AA57" i="26"/>
  <c r="W57" i="26"/>
  <c r="S57" i="26"/>
  <c r="O57" i="26"/>
  <c r="K57" i="26"/>
  <c r="G57" i="26"/>
  <c r="I57" i="26" s="1"/>
  <c r="AE56" i="26"/>
  <c r="AC56" i="26"/>
  <c r="Y56" i="26"/>
  <c r="U56" i="26"/>
  <c r="Q56" i="26"/>
  <c r="M56" i="26"/>
  <c r="AK55" i="26"/>
  <c r="AI55" i="26"/>
  <c r="AG55" i="26"/>
  <c r="AD55" i="26"/>
  <c r="Y55" i="26"/>
  <c r="U55" i="26"/>
  <c r="M55" i="26"/>
  <c r="AK54" i="26"/>
  <c r="AG54" i="26"/>
  <c r="AA54" i="26"/>
  <c r="O54" i="26"/>
  <c r="G54" i="26"/>
  <c r="I54" i="26" s="1"/>
  <c r="AC53" i="26"/>
  <c r="Q53" i="26"/>
  <c r="AI52" i="26"/>
  <c r="AD52" i="26"/>
  <c r="W52" i="26"/>
  <c r="S52" i="26"/>
  <c r="K52" i="26"/>
  <c r="AE51" i="26"/>
  <c r="Y51" i="26"/>
  <c r="U51" i="26"/>
  <c r="M51" i="26"/>
  <c r="AK50" i="26"/>
  <c r="AG50" i="26"/>
  <c r="AA50" i="26"/>
  <c r="O50" i="26"/>
  <c r="G50" i="26"/>
  <c r="I50" i="26" s="1"/>
  <c r="AC49" i="26"/>
  <c r="Q49" i="26"/>
  <c r="AI48" i="26"/>
  <c r="AD48" i="26"/>
  <c r="W48" i="26"/>
  <c r="S48" i="26"/>
  <c r="K48" i="26"/>
  <c r="AE47" i="26"/>
  <c r="Y47" i="26"/>
  <c r="U47" i="26"/>
  <c r="M47" i="26"/>
  <c r="AK46" i="26"/>
  <c r="AG46" i="26"/>
  <c r="AA46" i="26"/>
  <c r="O46" i="26"/>
  <c r="G46" i="26"/>
  <c r="I46" i="26" s="1"/>
  <c r="AC45" i="26"/>
  <c r="Q45" i="26"/>
  <c r="AI44" i="26"/>
  <c r="AD44" i="26"/>
  <c r="W44" i="26"/>
  <c r="S44" i="26"/>
  <c r="K44" i="26"/>
  <c r="AE43" i="26"/>
  <c r="Y43" i="26"/>
  <c r="U43" i="26"/>
  <c r="M43" i="26"/>
  <c r="AK42" i="26"/>
  <c r="AG42" i="26"/>
  <c r="AA42" i="26"/>
  <c r="O42" i="26"/>
  <c r="G42" i="26"/>
  <c r="I42" i="26" s="1"/>
  <c r="AC41" i="26"/>
  <c r="Q41" i="26"/>
  <c r="AI40" i="26"/>
  <c r="AD40" i="26"/>
  <c r="W40" i="26"/>
  <c r="S40" i="26"/>
  <c r="K40" i="26"/>
  <c r="AE39" i="26"/>
  <c r="Y39" i="26"/>
  <c r="U39" i="26"/>
  <c r="M39" i="26"/>
  <c r="AK38" i="26"/>
  <c r="AG38" i="26"/>
  <c r="AA38" i="26"/>
  <c r="O38" i="26"/>
  <c r="G38" i="26"/>
  <c r="I38" i="26" s="1"/>
  <c r="AC37" i="26"/>
  <c r="Q37" i="26"/>
  <c r="AI36" i="26"/>
  <c r="AD36" i="26"/>
  <c r="W36" i="26"/>
  <c r="S36" i="26"/>
  <c r="K36" i="26"/>
  <c r="AE35" i="26"/>
  <c r="Y35" i="26"/>
  <c r="U35" i="26"/>
  <c r="M35" i="26"/>
  <c r="AK34" i="26"/>
  <c r="AG34" i="26"/>
  <c r="AA34" i="26"/>
  <c r="O34" i="26"/>
  <c r="G34" i="26"/>
  <c r="I34" i="26" s="1"/>
  <c r="AC33" i="26"/>
  <c r="Q33" i="26"/>
  <c r="AI32" i="26"/>
  <c r="AD32" i="26"/>
  <c r="W32" i="26"/>
  <c r="S32" i="26"/>
  <c r="K32" i="26"/>
  <c r="AE31" i="26"/>
  <c r="Y31" i="26"/>
  <c r="U31" i="26"/>
  <c r="H31" i="26"/>
  <c r="R30" i="26"/>
  <c r="X29" i="26"/>
  <c r="L29" i="26"/>
  <c r="AF28" i="26"/>
  <c r="V28" i="26"/>
  <c r="F28" i="26"/>
  <c r="AB27" i="26"/>
  <c r="P27" i="26"/>
  <c r="AH26" i="26"/>
  <c r="T25" i="26"/>
  <c r="Z24" i="26"/>
  <c r="N24" i="26"/>
  <c r="H23" i="26"/>
  <c r="R22" i="26"/>
  <c r="X21" i="26"/>
  <c r="L21" i="26"/>
  <c r="AF20" i="26"/>
  <c r="F20" i="26"/>
  <c r="AB19" i="26"/>
  <c r="P19" i="26"/>
  <c r="AB18" i="26"/>
  <c r="AH17" i="26"/>
  <c r="T16" i="26"/>
  <c r="Z15" i="26"/>
  <c r="H14" i="26"/>
  <c r="J14" i="26" s="1"/>
  <c r="R13" i="26"/>
  <c r="G12" i="26"/>
  <c r="I12" i="26" s="1"/>
  <c r="W10" i="26"/>
  <c r="F8" i="26"/>
  <c r="G8" i="26"/>
  <c r="T8" i="26"/>
  <c r="R8" i="26"/>
  <c r="P8" i="26"/>
  <c r="N8" i="26"/>
  <c r="L8" i="26"/>
  <c r="AK8" i="26"/>
  <c r="AI8" i="26"/>
  <c r="AG8" i="26"/>
  <c r="AE8" i="26"/>
  <c r="AD8" i="26"/>
  <c r="AC8" i="26"/>
  <c r="AA8" i="26"/>
  <c r="Y8" i="26"/>
  <c r="W8" i="26"/>
  <c r="AK106" i="26"/>
  <c r="AI106" i="26"/>
  <c r="AG106" i="26"/>
  <c r="AE106" i="26"/>
  <c r="AD106" i="26"/>
  <c r="AC106" i="26"/>
  <c r="AA106" i="26"/>
  <c r="Y106" i="26"/>
  <c r="W106" i="26"/>
  <c r="U106" i="26"/>
  <c r="S106" i="26"/>
  <c r="Q106" i="26"/>
  <c r="O106" i="26"/>
  <c r="M106" i="26"/>
  <c r="K106" i="26"/>
  <c r="AK105" i="26"/>
  <c r="AI105" i="26"/>
  <c r="AG105" i="26"/>
  <c r="AE105" i="26"/>
  <c r="AD105" i="26"/>
  <c r="AC105" i="26"/>
  <c r="AA105" i="26"/>
  <c r="Y105" i="26"/>
  <c r="W105" i="26"/>
  <c r="U105" i="26"/>
  <c r="S105" i="26"/>
  <c r="Q105" i="26"/>
  <c r="O105" i="26"/>
  <c r="M105" i="26"/>
  <c r="K105" i="26"/>
  <c r="AK104" i="26"/>
  <c r="AI104" i="26"/>
  <c r="AG104" i="26"/>
  <c r="AE104" i="26"/>
  <c r="AD104" i="26"/>
  <c r="AC104" i="26"/>
  <c r="AA104" i="26"/>
  <c r="Y104" i="26"/>
  <c r="W104" i="26"/>
  <c r="S104" i="26"/>
  <c r="O104" i="26"/>
  <c r="K104" i="26"/>
  <c r="G104" i="26"/>
  <c r="I104" i="26" s="1"/>
  <c r="AE103" i="26"/>
  <c r="AC103" i="26"/>
  <c r="Y103" i="26"/>
  <c r="U103" i="26"/>
  <c r="Q103" i="26"/>
  <c r="M103" i="26"/>
  <c r="AK102" i="26"/>
  <c r="AI102" i="26"/>
  <c r="AG102" i="26"/>
  <c r="AD102" i="26"/>
  <c r="AA102" i="26"/>
  <c r="W102" i="26"/>
  <c r="S102" i="26"/>
  <c r="O102" i="26"/>
  <c r="K102" i="26"/>
  <c r="G102" i="26"/>
  <c r="I102" i="26" s="1"/>
  <c r="AE101" i="26"/>
  <c r="AC101" i="26"/>
  <c r="Y101" i="26"/>
  <c r="U101" i="26"/>
  <c r="Q101" i="26"/>
  <c r="M101" i="26"/>
  <c r="AK100" i="26"/>
  <c r="AI100" i="26"/>
  <c r="AG100" i="26"/>
  <c r="AD100" i="26"/>
  <c r="AA100" i="26"/>
  <c r="W100" i="26"/>
  <c r="S100" i="26"/>
  <c r="O100" i="26"/>
  <c r="K100" i="26"/>
  <c r="G100" i="26"/>
  <c r="I100" i="26" s="1"/>
  <c r="AE99" i="26"/>
  <c r="AC99" i="26"/>
  <c r="Y99" i="26"/>
  <c r="U99" i="26"/>
  <c r="Q99" i="26"/>
  <c r="M99" i="26"/>
  <c r="AK98" i="26"/>
  <c r="AI98" i="26"/>
  <c r="AG98" i="26"/>
  <c r="AD98" i="26"/>
  <c r="AA98" i="26"/>
  <c r="W98" i="26"/>
  <c r="S98" i="26"/>
  <c r="O98" i="26"/>
  <c r="K98" i="26"/>
  <c r="G98" i="26"/>
  <c r="I98" i="26" s="1"/>
  <c r="AE97" i="26"/>
  <c r="AC97" i="26"/>
  <c r="Y97" i="26"/>
  <c r="U97" i="26"/>
  <c r="Q97" i="26"/>
  <c r="M97" i="26"/>
  <c r="AK96" i="26"/>
  <c r="AI96" i="26"/>
  <c r="AG96" i="26"/>
  <c r="AD96" i="26"/>
  <c r="AA96" i="26"/>
  <c r="W96" i="26"/>
  <c r="S96" i="26"/>
  <c r="O96" i="26"/>
  <c r="K96" i="26"/>
  <c r="G96" i="26"/>
  <c r="I96" i="26" s="1"/>
  <c r="AE95" i="26"/>
  <c r="AC95" i="26"/>
  <c r="Y95" i="26"/>
  <c r="U95" i="26"/>
  <c r="Q95" i="26"/>
  <c r="M95" i="26"/>
  <c r="AK94" i="26"/>
  <c r="AI94" i="26"/>
  <c r="AG94" i="26"/>
  <c r="AD94" i="26"/>
  <c r="AA94" i="26"/>
  <c r="W94" i="26"/>
  <c r="S94" i="26"/>
  <c r="O94" i="26"/>
  <c r="K94" i="26"/>
  <c r="G94" i="26"/>
  <c r="I94" i="26" s="1"/>
  <c r="AE93" i="26"/>
  <c r="AC93" i="26"/>
  <c r="Y93" i="26"/>
  <c r="U93" i="26"/>
  <c r="Q93" i="26"/>
  <c r="M93" i="26"/>
  <c r="AK92" i="26"/>
  <c r="AI92" i="26"/>
  <c r="AG92" i="26"/>
  <c r="AD92" i="26"/>
  <c r="AA92" i="26"/>
  <c r="W92" i="26"/>
  <c r="S92" i="26"/>
  <c r="O92" i="26"/>
  <c r="K92" i="26"/>
  <c r="G92" i="26"/>
  <c r="I92" i="26" s="1"/>
  <c r="AE91" i="26"/>
  <c r="AC91" i="26"/>
  <c r="Y91" i="26"/>
  <c r="U91" i="26"/>
  <c r="Q91" i="26"/>
  <c r="M91" i="26"/>
  <c r="AK90" i="26"/>
  <c r="AI90" i="26"/>
  <c r="AG90" i="26"/>
  <c r="AD90" i="26"/>
  <c r="AA90" i="26"/>
  <c r="W90" i="26"/>
  <c r="S90" i="26"/>
  <c r="O90" i="26"/>
  <c r="K90" i="26"/>
  <c r="G90" i="26"/>
  <c r="I90" i="26" s="1"/>
  <c r="AE89" i="26"/>
  <c r="AC89" i="26"/>
  <c r="Y89" i="26"/>
  <c r="U89" i="26"/>
  <c r="Q89" i="26"/>
  <c r="M89" i="26"/>
  <c r="AK88" i="26"/>
  <c r="AI88" i="26"/>
  <c r="AG88" i="26"/>
  <c r="AD88" i="26"/>
  <c r="AA88" i="26"/>
  <c r="W88" i="26"/>
  <c r="S88" i="26"/>
  <c r="O88" i="26"/>
  <c r="K88" i="26"/>
  <c r="G88" i="26"/>
  <c r="I88" i="26" s="1"/>
  <c r="AE87" i="26"/>
  <c r="AC87" i="26"/>
  <c r="Y87" i="26"/>
  <c r="U87" i="26"/>
  <c r="Q87" i="26"/>
  <c r="M87" i="26"/>
  <c r="AK86" i="26"/>
  <c r="AI86" i="26"/>
  <c r="AG86" i="26"/>
  <c r="AD86" i="26"/>
  <c r="AA86" i="26"/>
  <c r="W86" i="26"/>
  <c r="S86" i="26"/>
  <c r="O86" i="26"/>
  <c r="K86" i="26"/>
  <c r="G86" i="26"/>
  <c r="I86" i="26" s="1"/>
  <c r="AE85" i="26"/>
  <c r="AC85" i="26"/>
  <c r="Y85" i="26"/>
  <c r="U85" i="26"/>
  <c r="Q85" i="26"/>
  <c r="M85" i="26"/>
  <c r="AK84" i="26"/>
  <c r="AI84" i="26"/>
  <c r="AG84" i="26"/>
  <c r="AD84" i="26"/>
  <c r="AA84" i="26"/>
  <c r="W84" i="26"/>
  <c r="S84" i="26"/>
  <c r="O84" i="26"/>
  <c r="K84" i="26"/>
  <c r="G84" i="26"/>
  <c r="I84" i="26" s="1"/>
  <c r="AE83" i="26"/>
  <c r="AC83" i="26"/>
  <c r="Y83" i="26"/>
  <c r="U83" i="26"/>
  <c r="Q83" i="26"/>
  <c r="M83" i="26"/>
  <c r="AK82" i="26"/>
  <c r="AI82" i="26"/>
  <c r="AG82" i="26"/>
  <c r="AD82" i="26"/>
  <c r="AA82" i="26"/>
  <c r="W82" i="26"/>
  <c r="S82" i="26"/>
  <c r="O82" i="26"/>
  <c r="K82" i="26"/>
  <c r="G82" i="26"/>
  <c r="I82" i="26" s="1"/>
  <c r="AE81" i="26"/>
  <c r="AC81" i="26"/>
  <c r="Y81" i="26"/>
  <c r="U81" i="26"/>
  <c r="Q81" i="26"/>
  <c r="M81" i="26"/>
  <c r="AK80" i="26"/>
  <c r="AI80" i="26"/>
  <c r="AG80" i="26"/>
  <c r="AD80" i="26"/>
  <c r="AA80" i="26"/>
  <c r="W80" i="26"/>
  <c r="S80" i="26"/>
  <c r="O80" i="26"/>
  <c r="K80" i="26"/>
  <c r="G80" i="26"/>
  <c r="I80" i="26" s="1"/>
  <c r="AE79" i="26"/>
  <c r="AC79" i="26"/>
  <c r="Y79" i="26"/>
  <c r="U79" i="26"/>
  <c r="Q79" i="26"/>
  <c r="M79" i="26"/>
  <c r="AK78" i="26"/>
  <c r="AI78" i="26"/>
  <c r="AG78" i="26"/>
  <c r="AD78" i="26"/>
  <c r="AA78" i="26"/>
  <c r="W78" i="26"/>
  <c r="S78" i="26"/>
  <c r="O78" i="26"/>
  <c r="K78" i="26"/>
  <c r="G78" i="26"/>
  <c r="I78" i="26" s="1"/>
  <c r="AE77" i="26"/>
  <c r="AC77" i="26"/>
  <c r="Y77" i="26"/>
  <c r="U77" i="26"/>
  <c r="Q77" i="26"/>
  <c r="M77" i="26"/>
  <c r="AK76" i="26"/>
  <c r="AI76" i="26"/>
  <c r="AG76" i="26"/>
  <c r="AD76" i="26"/>
  <c r="AA76" i="26"/>
  <c r="W76" i="26"/>
  <c r="S76" i="26"/>
  <c r="O76" i="26"/>
  <c r="K76" i="26"/>
  <c r="G76" i="26"/>
  <c r="I76" i="26" s="1"/>
  <c r="AE75" i="26"/>
  <c r="AC75" i="26"/>
  <c r="Y75" i="26"/>
  <c r="U75" i="26"/>
  <c r="Q75" i="26"/>
  <c r="M75" i="26"/>
  <c r="AK74" i="26"/>
  <c r="AI74" i="26"/>
  <c r="AG74" i="26"/>
  <c r="AD74" i="26"/>
  <c r="AA74" i="26"/>
  <c r="W74" i="26"/>
  <c r="S74" i="26"/>
  <c r="O74" i="26"/>
  <c r="K74" i="26"/>
  <c r="G74" i="26"/>
  <c r="I74" i="26" s="1"/>
  <c r="AE73" i="26"/>
  <c r="AC73" i="26"/>
  <c r="Y73" i="26"/>
  <c r="U73" i="26"/>
  <c r="Q73" i="26"/>
  <c r="M73" i="26"/>
  <c r="AK72" i="26"/>
  <c r="AI72" i="26"/>
  <c r="AG72" i="26"/>
  <c r="AD72" i="26"/>
  <c r="AA72" i="26"/>
  <c r="W72" i="26"/>
  <c r="S72" i="26"/>
  <c r="O72" i="26"/>
  <c r="K72" i="26"/>
  <c r="G72" i="26"/>
  <c r="I72" i="26" s="1"/>
  <c r="AE71" i="26"/>
  <c r="AC71" i="26"/>
  <c r="Y71" i="26"/>
  <c r="U71" i="26"/>
  <c r="Q71" i="26"/>
  <c r="M71" i="26"/>
  <c r="AK70" i="26"/>
  <c r="AI70" i="26"/>
  <c r="AG70" i="26"/>
  <c r="AD70" i="26"/>
  <c r="AA70" i="26"/>
  <c r="W70" i="26"/>
  <c r="S70" i="26"/>
  <c r="O70" i="26"/>
  <c r="K70" i="26"/>
  <c r="G70" i="26"/>
  <c r="I70" i="26" s="1"/>
  <c r="AE69" i="26"/>
  <c r="AC69" i="26"/>
  <c r="Y69" i="26"/>
  <c r="U69" i="26"/>
  <c r="Q69" i="26"/>
  <c r="M69" i="26"/>
  <c r="AK68" i="26"/>
  <c r="AI68" i="26"/>
  <c r="AG68" i="26"/>
  <c r="AD68" i="26"/>
  <c r="AA68" i="26"/>
  <c r="W68" i="26"/>
  <c r="S68" i="26"/>
  <c r="O68" i="26"/>
  <c r="K68" i="26"/>
  <c r="G68" i="26"/>
  <c r="I68" i="26" s="1"/>
  <c r="AE67" i="26"/>
  <c r="AC67" i="26"/>
  <c r="Y67" i="26"/>
  <c r="U67" i="26"/>
  <c r="Q67" i="26"/>
  <c r="M67" i="26"/>
  <c r="AK66" i="26"/>
  <c r="AI66" i="26"/>
  <c r="AG66" i="26"/>
  <c r="AD66" i="26"/>
  <c r="AA66" i="26"/>
  <c r="W66" i="26"/>
  <c r="S66" i="26"/>
  <c r="O66" i="26"/>
  <c r="K66" i="26"/>
  <c r="G66" i="26"/>
  <c r="I66" i="26" s="1"/>
  <c r="AE65" i="26"/>
  <c r="AC65" i="26"/>
  <c r="Y65" i="26"/>
  <c r="U65" i="26"/>
  <c r="Q65" i="26"/>
  <c r="M65" i="26"/>
  <c r="AK64" i="26"/>
  <c r="AI64" i="26"/>
  <c r="AG64" i="26"/>
  <c r="AD64" i="26"/>
  <c r="AA64" i="26"/>
  <c r="W64" i="26"/>
  <c r="S64" i="26"/>
  <c r="O64" i="26"/>
  <c r="K64" i="26"/>
  <c r="G64" i="26"/>
  <c r="I64" i="26" s="1"/>
  <c r="AE63" i="26"/>
  <c r="AC63" i="26"/>
  <c r="Y63" i="26"/>
  <c r="U63" i="26"/>
  <c r="Q63" i="26"/>
  <c r="M63" i="26"/>
  <c r="AK62" i="26"/>
  <c r="AI62" i="26"/>
  <c r="AG62" i="26"/>
  <c r="AD62" i="26"/>
  <c r="AA62" i="26"/>
  <c r="W62" i="26"/>
  <c r="S62" i="26"/>
  <c r="O62" i="26"/>
  <c r="K62" i="26"/>
  <c r="G62" i="26"/>
  <c r="I62" i="26" s="1"/>
  <c r="AE61" i="26"/>
  <c r="AC61" i="26"/>
  <c r="Y61" i="26"/>
  <c r="U61" i="26"/>
  <c r="Q61" i="26"/>
  <c r="M61" i="26"/>
  <c r="AK60" i="26"/>
  <c r="AI60" i="26"/>
  <c r="AG60" i="26"/>
  <c r="AD60" i="26"/>
  <c r="AA60" i="26"/>
  <c r="W60" i="26"/>
  <c r="S60" i="26"/>
  <c r="O60" i="26"/>
  <c r="K60" i="26"/>
  <c r="G60" i="26"/>
  <c r="I60" i="26" s="1"/>
  <c r="AE59" i="26"/>
  <c r="AC59" i="26"/>
  <c r="Y59" i="26"/>
  <c r="U59" i="26"/>
  <c r="Q59" i="26"/>
  <c r="M59" i="26"/>
  <c r="AK58" i="26"/>
  <c r="AI58" i="26"/>
  <c r="AG58" i="26"/>
  <c r="AD58" i="26"/>
  <c r="AA58" i="26"/>
  <c r="W58" i="26"/>
  <c r="S58" i="26"/>
  <c r="O58" i="26"/>
  <c r="K58" i="26"/>
  <c r="G58" i="26"/>
  <c r="I58" i="26" s="1"/>
  <c r="AE57" i="26"/>
  <c r="AC57" i="26"/>
  <c r="Y57" i="26"/>
  <c r="U57" i="26"/>
  <c r="Q57" i="26"/>
  <c r="M57" i="26"/>
  <c r="AK56" i="26"/>
  <c r="AI56" i="26"/>
  <c r="AG56" i="26"/>
  <c r="AD56" i="26"/>
  <c r="AA56" i="26"/>
  <c r="W56" i="26"/>
  <c r="S56" i="26"/>
  <c r="O56" i="26"/>
  <c r="K56" i="26"/>
  <c r="G56" i="26"/>
  <c r="I56" i="26" s="1"/>
  <c r="AE55" i="26"/>
  <c r="AC55" i="26"/>
  <c r="Q55" i="26"/>
  <c r="AI54" i="26"/>
  <c r="AD54" i="26"/>
  <c r="W54" i="26"/>
  <c r="S54" i="26"/>
  <c r="K54" i="26"/>
  <c r="AE53" i="26"/>
  <c r="Y53" i="26"/>
  <c r="U53" i="26"/>
  <c r="M53" i="26"/>
  <c r="AK52" i="26"/>
  <c r="AG52" i="26"/>
  <c r="AA52" i="26"/>
  <c r="O52" i="26"/>
  <c r="G52" i="26"/>
  <c r="I52" i="26" s="1"/>
  <c r="AC51" i="26"/>
  <c r="Q51" i="26"/>
  <c r="AI50" i="26"/>
  <c r="AD50" i="26"/>
  <c r="W50" i="26"/>
  <c r="S50" i="26"/>
  <c r="K50" i="26"/>
  <c r="AE49" i="26"/>
  <c r="Y49" i="26"/>
  <c r="U49" i="26"/>
  <c r="M49" i="26"/>
  <c r="AK48" i="26"/>
  <c r="AG48" i="26"/>
  <c r="AA48" i="26"/>
  <c r="O48" i="26"/>
  <c r="G48" i="26"/>
  <c r="I48" i="26" s="1"/>
  <c r="AC47" i="26"/>
  <c r="Q47" i="26"/>
  <c r="AI46" i="26"/>
  <c r="AD46" i="26"/>
  <c r="W46" i="26"/>
  <c r="S46" i="26"/>
  <c r="K46" i="26"/>
  <c r="AE45" i="26"/>
  <c r="Y45" i="26"/>
  <c r="U45" i="26"/>
  <c r="M45" i="26"/>
  <c r="AK44" i="26"/>
  <c r="AG44" i="26"/>
  <c r="AA44" i="26"/>
  <c r="O44" i="26"/>
  <c r="G44" i="26"/>
  <c r="I44" i="26" s="1"/>
  <c r="AC43" i="26"/>
  <c r="Q43" i="26"/>
  <c r="AI42" i="26"/>
  <c r="AD42" i="26"/>
  <c r="W42" i="26"/>
  <c r="S42" i="26"/>
  <c r="K42" i="26"/>
  <c r="AE41" i="26"/>
  <c r="Y41" i="26"/>
  <c r="U41" i="26"/>
  <c r="M41" i="26"/>
  <c r="AK40" i="26"/>
  <c r="AG40" i="26"/>
  <c r="AA40" i="26"/>
  <c r="O40" i="26"/>
  <c r="G40" i="26"/>
  <c r="I40" i="26" s="1"/>
  <c r="AC39" i="26"/>
  <c r="Q39" i="26"/>
  <c r="AI38" i="26"/>
  <c r="AD38" i="26"/>
  <c r="W38" i="26"/>
  <c r="S38" i="26"/>
  <c r="K38" i="26"/>
  <c r="AE37" i="26"/>
  <c r="Y37" i="26"/>
  <c r="U37" i="26"/>
  <c r="M37" i="26"/>
  <c r="AK36" i="26"/>
  <c r="AG36" i="26"/>
  <c r="AA36" i="26"/>
  <c r="O36" i="26"/>
  <c r="G36" i="26"/>
  <c r="I36" i="26" s="1"/>
  <c r="AC35" i="26"/>
  <c r="Q35" i="26"/>
  <c r="AI34" i="26"/>
  <c r="AD34" i="26"/>
  <c r="W34" i="26"/>
  <c r="S34" i="26"/>
  <c r="K34" i="26"/>
  <c r="AE33" i="26"/>
  <c r="Y33" i="26"/>
  <c r="U33" i="26"/>
  <c r="M33" i="26"/>
  <c r="AK32" i="26"/>
  <c r="AG32" i="26"/>
  <c r="AA32" i="26"/>
  <c r="O32" i="26"/>
  <c r="G32" i="26"/>
  <c r="I32" i="26" s="1"/>
  <c r="AC31" i="26"/>
  <c r="P31" i="26"/>
  <c r="AH30" i="26"/>
  <c r="T29" i="26"/>
  <c r="Z28" i="26"/>
  <c r="N28" i="26"/>
  <c r="H27" i="26"/>
  <c r="J27" i="26" s="1"/>
  <c r="R26" i="26"/>
  <c r="AJ25" i="26"/>
  <c r="X25" i="26"/>
  <c r="L25" i="26"/>
  <c r="AF24" i="26"/>
  <c r="F24" i="26"/>
  <c r="AB23" i="26"/>
  <c r="P23" i="26"/>
  <c r="AH22" i="26"/>
  <c r="T21" i="26"/>
  <c r="Z20" i="26"/>
  <c r="N20" i="26"/>
  <c r="F19" i="26"/>
  <c r="P18" i="26"/>
  <c r="N15" i="26"/>
  <c r="AG12" i="26"/>
  <c r="Q11" i="26"/>
  <c r="AE9" i="26"/>
  <c r="C107" i="14"/>
  <c r="B107" i="14"/>
  <c r="N15" i="29" l="1"/>
  <c r="F19" i="29"/>
  <c r="AB23" i="29"/>
  <c r="P31" i="29"/>
  <c r="Q35" i="29"/>
  <c r="Q43" i="29"/>
  <c r="K58" i="29"/>
  <c r="S58" i="29"/>
  <c r="Q59" i="29"/>
  <c r="K68" i="29"/>
  <c r="S68" i="29"/>
  <c r="Q69" i="29"/>
  <c r="Y77" i="29"/>
  <c r="AE77" i="29"/>
  <c r="K88" i="29"/>
  <c r="P19" i="29"/>
  <c r="Q19" i="29"/>
  <c r="M19" i="29"/>
  <c r="L51" i="29"/>
  <c r="P85" i="29"/>
  <c r="K85" i="29"/>
  <c r="Z85" i="29"/>
  <c r="AA55" i="29"/>
  <c r="AD55" i="29"/>
  <c r="B27" i="29"/>
  <c r="M27" i="29"/>
  <c r="C36" i="12"/>
  <c r="C37" i="12" s="1"/>
  <c r="C38" i="12" s="1"/>
  <c r="AH26" i="29"/>
  <c r="AA34" i="29"/>
  <c r="AK34" i="29"/>
  <c r="U35" i="29"/>
  <c r="AE35" i="29"/>
  <c r="U43" i="29"/>
  <c r="AE43" i="29"/>
  <c r="AA50" i="29"/>
  <c r="X27" i="29"/>
  <c r="AK50" i="29"/>
  <c r="M58" i="29"/>
  <c r="U58" i="29"/>
  <c r="I59" i="29"/>
  <c r="O59" i="29"/>
  <c r="M68" i="29"/>
  <c r="U68" i="29"/>
  <c r="I69" i="29"/>
  <c r="O69" i="29"/>
  <c r="W77" i="29"/>
  <c r="AD77" i="29"/>
  <c r="AI77" i="29"/>
  <c r="AF77" i="29"/>
  <c r="Z77" i="29"/>
  <c r="T77" i="29"/>
  <c r="P77" i="29"/>
  <c r="L77" i="29"/>
  <c r="F77" i="29"/>
  <c r="AF69" i="29"/>
  <c r="Z69" i="29"/>
  <c r="T69" i="29"/>
  <c r="P69" i="29"/>
  <c r="L69" i="29"/>
  <c r="F69" i="29"/>
  <c r="AF68" i="29"/>
  <c r="Z68" i="29"/>
  <c r="T68" i="29"/>
  <c r="P68" i="29"/>
  <c r="L68" i="29"/>
  <c r="F68" i="29"/>
  <c r="AF59" i="29"/>
  <c r="Z59" i="29"/>
  <c r="T59" i="29"/>
  <c r="P59" i="29"/>
  <c r="L59" i="29"/>
  <c r="F59" i="29"/>
  <c r="AF58" i="29"/>
  <c r="Z58" i="29"/>
  <c r="T58" i="29"/>
  <c r="P58" i="29"/>
  <c r="L58" i="29"/>
  <c r="F58" i="29"/>
  <c r="O43" i="29"/>
  <c r="I43" i="29"/>
  <c r="AF43" i="29"/>
  <c r="Z43" i="29"/>
  <c r="T43" i="29"/>
  <c r="P43" i="29"/>
  <c r="L43" i="29"/>
  <c r="F43" i="29"/>
  <c r="O35" i="29"/>
  <c r="I35" i="29"/>
  <c r="AF35" i="29"/>
  <c r="Z35" i="29"/>
  <c r="T35" i="29"/>
  <c r="P35" i="29"/>
  <c r="L35" i="29"/>
  <c r="F35" i="29"/>
  <c r="U34" i="29"/>
  <c r="M34" i="29"/>
  <c r="AF34" i="29"/>
  <c r="Z34" i="29"/>
  <c r="T34" i="29"/>
  <c r="P34" i="29"/>
  <c r="L34" i="29"/>
  <c r="F34" i="29"/>
  <c r="T19" i="29"/>
  <c r="AH19" i="29"/>
  <c r="Z19" i="29"/>
  <c r="N19" i="29"/>
  <c r="AI19" i="29"/>
  <c r="AE19" i="29"/>
  <c r="AC19" i="29"/>
  <c r="Y19" i="29"/>
  <c r="AF15" i="29"/>
  <c r="Q15" i="29"/>
  <c r="I15" i="29"/>
  <c r="C58" i="32"/>
  <c r="C59" i="32" s="1"/>
  <c r="C61" i="32" s="1"/>
  <c r="C62" i="32" s="1"/>
  <c r="C64" i="32" s="1"/>
  <c r="C26" i="32"/>
  <c r="C27" i="32" s="1"/>
  <c r="C28" i="32" s="1"/>
  <c r="A18" i="14"/>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26" i="9"/>
  <c r="A27" i="9" s="1"/>
  <c r="A18" i="3"/>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U19" i="29"/>
  <c r="J11" i="29"/>
  <c r="AH11" i="29"/>
  <c r="AD65" i="29"/>
  <c r="J89" i="29"/>
  <c r="AB73" i="29"/>
  <c r="W81" i="29"/>
  <c r="B12" i="29"/>
  <c r="AD71" i="29"/>
  <c r="R30" i="29"/>
  <c r="AE31" i="29"/>
  <c r="M88" i="29"/>
  <c r="AF88" i="29"/>
  <c r="T88" i="29"/>
  <c r="L88" i="29"/>
  <c r="AF80" i="29"/>
  <c r="T80" i="29"/>
  <c r="L80" i="29"/>
  <c r="Z62" i="29"/>
  <c r="P62" i="29"/>
  <c r="F62" i="29"/>
  <c r="AF31" i="29"/>
  <c r="T31" i="29"/>
  <c r="Q31" i="29"/>
  <c r="I31" i="29"/>
  <c r="F15" i="29"/>
  <c r="X15" i="29"/>
  <c r="AE15" i="29"/>
  <c r="Y15" i="29"/>
  <c r="J63" i="29"/>
  <c r="S88" i="29"/>
  <c r="Z15" i="29"/>
  <c r="M15" i="29"/>
  <c r="F31" i="21"/>
  <c r="U31" i="29"/>
  <c r="U88" i="29"/>
  <c r="Z88" i="29"/>
  <c r="P88" i="29"/>
  <c r="F88" i="29"/>
  <c r="Z80" i="29"/>
  <c r="P80" i="29"/>
  <c r="F80" i="29"/>
  <c r="AF62" i="29"/>
  <c r="T62" i="29"/>
  <c r="L62" i="29"/>
  <c r="L31" i="29"/>
  <c r="Z31" i="29"/>
  <c r="N31" i="29"/>
  <c r="M31" i="29"/>
  <c r="R15" i="29"/>
  <c r="P15" i="29"/>
  <c r="AI15" i="29"/>
  <c r="AC15" i="29"/>
  <c r="T81" i="29"/>
  <c r="U16" i="29"/>
  <c r="T23" i="29"/>
  <c r="Z23" i="29"/>
  <c r="AK23" i="29"/>
  <c r="AD23" i="29"/>
  <c r="W23" i="29"/>
  <c r="O23" i="29"/>
  <c r="AH23" i="29"/>
  <c r="N23" i="29"/>
  <c r="AG23" i="29"/>
  <c r="AA23" i="29"/>
  <c r="S23" i="29"/>
  <c r="K23" i="29"/>
  <c r="R79" i="29"/>
  <c r="U15" i="29"/>
  <c r="H56" i="29"/>
  <c r="AA65" i="29"/>
  <c r="K65" i="29"/>
  <c r="V65" i="29"/>
  <c r="S65" i="29"/>
  <c r="F65" i="29"/>
  <c r="AC94" i="29"/>
  <c r="P94" i="29"/>
  <c r="M94" i="29"/>
  <c r="AC90" i="29"/>
  <c r="P90" i="29"/>
  <c r="M90" i="29"/>
  <c r="AC82" i="29"/>
  <c r="P82" i="29"/>
  <c r="M82" i="29"/>
  <c r="Y60" i="29"/>
  <c r="V60" i="29"/>
  <c r="T60" i="29"/>
  <c r="Y48" i="29"/>
  <c r="X48" i="29"/>
  <c r="M36" i="29"/>
  <c r="R36" i="29"/>
  <c r="AF36" i="29"/>
  <c r="U20" i="29"/>
  <c r="V20" i="29"/>
  <c r="V12" i="29"/>
  <c r="M12" i="29"/>
  <c r="F12" i="29"/>
  <c r="AC106" i="29"/>
  <c r="V106" i="29"/>
  <c r="AH106" i="29"/>
  <c r="M106" i="29"/>
  <c r="Y105" i="29"/>
  <c r="I105" i="29"/>
  <c r="H105" i="29"/>
  <c r="Q105" i="29"/>
  <c r="J105" i="29"/>
  <c r="AC104" i="29"/>
  <c r="V104" i="29"/>
  <c r="M104" i="29"/>
  <c r="AE103" i="29"/>
  <c r="S103" i="29"/>
  <c r="AB103" i="29"/>
  <c r="T103" i="29"/>
  <c r="AA103" i="29"/>
  <c r="N103" i="29"/>
  <c r="P103" i="29"/>
  <c r="AC102" i="29"/>
  <c r="P102" i="29"/>
  <c r="M102" i="29"/>
  <c r="W101" i="29"/>
  <c r="G101" i="29"/>
  <c r="J101" i="29"/>
  <c r="AE101" i="29"/>
  <c r="X101" i="29"/>
  <c r="AC100" i="29"/>
  <c r="P100" i="29"/>
  <c r="M100" i="29"/>
  <c r="AC99" i="29"/>
  <c r="M99" i="29"/>
  <c r="V99" i="29"/>
  <c r="L99" i="29"/>
  <c r="AK99" i="29"/>
  <c r="AJ99" i="29"/>
  <c r="AC98" i="29"/>
  <c r="P98" i="29"/>
  <c r="M98" i="29"/>
  <c r="T97" i="29"/>
  <c r="AK97" i="29"/>
  <c r="U97" i="29"/>
  <c r="AJ97" i="29"/>
  <c r="F97" i="29"/>
  <c r="Z97" i="29"/>
  <c r="M97" i="29"/>
  <c r="B9" i="26"/>
  <c r="O25" i="29"/>
  <c r="G25" i="29"/>
  <c r="C36" i="29"/>
  <c r="C40" i="26"/>
  <c r="C41" i="26" s="1"/>
  <c r="C41" i="29" s="1"/>
  <c r="AE9" i="29"/>
  <c r="N20" i="29"/>
  <c r="T21" i="29"/>
  <c r="F24" i="29"/>
  <c r="Z28" i="29"/>
  <c r="O32" i="29"/>
  <c r="AG32" i="29"/>
  <c r="O40" i="29"/>
  <c r="AG40" i="29"/>
  <c r="M41" i="29"/>
  <c r="Y41" i="29"/>
  <c r="O52" i="29"/>
  <c r="AG52" i="29"/>
  <c r="M57" i="29"/>
  <c r="U57" i="29"/>
  <c r="I64" i="29"/>
  <c r="O64" i="29"/>
  <c r="W64" i="29"/>
  <c r="AD64" i="29"/>
  <c r="AI64" i="29"/>
  <c r="M67" i="29"/>
  <c r="Z105" i="29"/>
  <c r="K103" i="29"/>
  <c r="O101" i="29"/>
  <c r="U99" i="29"/>
  <c r="AC97" i="29"/>
  <c r="AI65" i="29"/>
  <c r="S61" i="29"/>
  <c r="F106" i="29"/>
  <c r="AF102" i="29"/>
  <c r="X98" i="29"/>
  <c r="AB90" i="29"/>
  <c r="M44" i="29"/>
  <c r="U67" i="29"/>
  <c r="I70" i="29"/>
  <c r="O70" i="29"/>
  <c r="W70" i="29"/>
  <c r="AD70" i="29"/>
  <c r="AI70" i="29"/>
  <c r="I74" i="29"/>
  <c r="O74" i="29"/>
  <c r="W74" i="29"/>
  <c r="AD74" i="29"/>
  <c r="AI74" i="29"/>
  <c r="I78" i="29"/>
  <c r="O78" i="29"/>
  <c r="W78" i="29"/>
  <c r="AD78" i="29"/>
  <c r="AI78" i="29"/>
  <c r="I86" i="29"/>
  <c r="O86" i="29"/>
  <c r="W86" i="29"/>
  <c r="AD86" i="29"/>
  <c r="AI86" i="29"/>
  <c r="M87" i="29"/>
  <c r="U87" i="29"/>
  <c r="AC8" i="29"/>
  <c r="AE8" i="29"/>
  <c r="L8" i="29"/>
  <c r="P8" i="29"/>
  <c r="T8" i="29"/>
  <c r="T16" i="29"/>
  <c r="N24" i="29"/>
  <c r="F28" i="29"/>
  <c r="AF28" i="29"/>
  <c r="K32" i="29"/>
  <c r="W32" i="29"/>
  <c r="AI32" i="29"/>
  <c r="K40" i="29"/>
  <c r="W40" i="29"/>
  <c r="AI40" i="29"/>
  <c r="AC41" i="29"/>
  <c r="K52" i="29"/>
  <c r="W52" i="29"/>
  <c r="AI52" i="29"/>
  <c r="K57" i="29"/>
  <c r="S57" i="29"/>
  <c r="Q64" i="29"/>
  <c r="Y64" i="29"/>
  <c r="AE64" i="29"/>
  <c r="K67" i="29"/>
  <c r="S67" i="29"/>
  <c r="Q70" i="29"/>
  <c r="Y70" i="29"/>
  <c r="AE70" i="29"/>
  <c r="Q74" i="29"/>
  <c r="Y74" i="29"/>
  <c r="AE74" i="29"/>
  <c r="Q78" i="29"/>
  <c r="Y78" i="29"/>
  <c r="AE78" i="29"/>
  <c r="Q86" i="29"/>
  <c r="Y86" i="29"/>
  <c r="AE86" i="29"/>
  <c r="K87" i="29"/>
  <c r="S87" i="29"/>
  <c r="AH86" i="29"/>
  <c r="AB86" i="29"/>
  <c r="X86" i="29"/>
  <c r="R86" i="29"/>
  <c r="N86" i="29"/>
  <c r="J86" i="29"/>
  <c r="AH78" i="29"/>
  <c r="AB78" i="29"/>
  <c r="X78" i="29"/>
  <c r="R78" i="29"/>
  <c r="N78" i="29"/>
  <c r="J78" i="29"/>
  <c r="AH74" i="29"/>
  <c r="AB74" i="29"/>
  <c r="X74" i="29"/>
  <c r="R74" i="29"/>
  <c r="N74" i="29"/>
  <c r="J74" i="29"/>
  <c r="AH70" i="29"/>
  <c r="AB70" i="29"/>
  <c r="X70" i="29"/>
  <c r="R70" i="29"/>
  <c r="N70" i="29"/>
  <c r="J70" i="29"/>
  <c r="AH64" i="29"/>
  <c r="AB64" i="29"/>
  <c r="X64" i="29"/>
  <c r="R64" i="29"/>
  <c r="N64" i="29"/>
  <c r="J64" i="29"/>
  <c r="AE52" i="29"/>
  <c r="Y52" i="29"/>
  <c r="Q52" i="29"/>
  <c r="AH52" i="29"/>
  <c r="AB52" i="29"/>
  <c r="X52" i="29"/>
  <c r="R52" i="29"/>
  <c r="N52" i="29"/>
  <c r="J52" i="29"/>
  <c r="S41" i="29"/>
  <c r="K41" i="29"/>
  <c r="AH41" i="29"/>
  <c r="AB41" i="29"/>
  <c r="X41" i="29"/>
  <c r="R41" i="29"/>
  <c r="N41" i="29"/>
  <c r="AE40" i="29"/>
  <c r="Y40" i="29"/>
  <c r="Q40" i="29"/>
  <c r="AH40" i="29"/>
  <c r="AB40" i="29"/>
  <c r="X40" i="29"/>
  <c r="R40" i="29"/>
  <c r="N40" i="29"/>
  <c r="AE32" i="29"/>
  <c r="Y32" i="29"/>
  <c r="Q32" i="29"/>
  <c r="AH32" i="29"/>
  <c r="AB32" i="29"/>
  <c r="X32" i="29"/>
  <c r="R32" i="29"/>
  <c r="N32" i="29"/>
  <c r="R28" i="29"/>
  <c r="X28" i="29"/>
  <c r="P28" i="29"/>
  <c r="AI28" i="29"/>
  <c r="AE28" i="29"/>
  <c r="AC28" i="29"/>
  <c r="Y28" i="29"/>
  <c r="U28" i="29"/>
  <c r="Q28" i="29"/>
  <c r="M28" i="29"/>
  <c r="I28" i="29"/>
  <c r="AH24" i="29"/>
  <c r="AB24" i="29"/>
  <c r="T24" i="29"/>
  <c r="L24" i="29"/>
  <c r="AK24" i="29"/>
  <c r="AG24" i="29"/>
  <c r="AD24" i="29"/>
  <c r="AA24" i="29"/>
  <c r="W24" i="29"/>
  <c r="S24" i="29"/>
  <c r="O24" i="29"/>
  <c r="K24" i="29"/>
  <c r="R20" i="29"/>
  <c r="P20" i="29"/>
  <c r="AI20" i="29"/>
  <c r="AE20" i="29"/>
  <c r="AC20" i="29"/>
  <c r="Y20" i="29"/>
  <c r="Q20" i="29"/>
  <c r="M20" i="29"/>
  <c r="I20" i="29"/>
  <c r="L16" i="29"/>
  <c r="P16" i="29"/>
  <c r="AH16" i="29"/>
  <c r="Z16" i="29"/>
  <c r="N16" i="29"/>
  <c r="AK16" i="29"/>
  <c r="AG16" i="29"/>
  <c r="AD16" i="29"/>
  <c r="AA16" i="29"/>
  <c r="W16" i="29"/>
  <c r="Z8" i="29"/>
  <c r="AH8" i="29"/>
  <c r="Q8" i="29"/>
  <c r="P65" i="29"/>
  <c r="L65" i="29"/>
  <c r="H65" i="29"/>
  <c r="B65" i="29"/>
  <c r="AK65" i="29"/>
  <c r="AG65" i="29"/>
  <c r="AC65" i="29"/>
  <c r="Y65" i="29"/>
  <c r="U65" i="29"/>
  <c r="Q65" i="29"/>
  <c r="M65" i="29"/>
  <c r="I65" i="29"/>
  <c r="J65" i="29"/>
  <c r="R65" i="29"/>
  <c r="X65" i="29"/>
  <c r="AF65" i="29"/>
  <c r="B94" i="29"/>
  <c r="AI94" i="29"/>
  <c r="AE94" i="29"/>
  <c r="AA94" i="29"/>
  <c r="W94" i="29"/>
  <c r="S94" i="29"/>
  <c r="O94" i="29"/>
  <c r="K94" i="29"/>
  <c r="G94" i="29"/>
  <c r="AD94" i="29"/>
  <c r="T94" i="29"/>
  <c r="L94" i="29"/>
  <c r="AF94" i="29"/>
  <c r="R94" i="29"/>
  <c r="AJ94" i="29"/>
  <c r="V94" i="29"/>
  <c r="F94" i="29"/>
  <c r="AG94" i="29"/>
  <c r="Y94" i="29"/>
  <c r="Q94" i="29"/>
  <c r="I94" i="29"/>
  <c r="Z94" i="29"/>
  <c r="H94" i="29"/>
  <c r="J94" i="29"/>
  <c r="N94" i="29"/>
  <c r="B90" i="29"/>
  <c r="AI90" i="29"/>
  <c r="AE90" i="29"/>
  <c r="AA90" i="29"/>
  <c r="W90" i="29"/>
  <c r="S90" i="29"/>
  <c r="O90" i="29"/>
  <c r="K90" i="29"/>
  <c r="G90" i="29"/>
  <c r="AD90" i="29"/>
  <c r="T90" i="29"/>
  <c r="L90" i="29"/>
  <c r="AF90" i="29"/>
  <c r="R90" i="29"/>
  <c r="AJ90" i="29"/>
  <c r="V90" i="29"/>
  <c r="F90" i="29"/>
  <c r="AG90" i="29"/>
  <c r="Y90" i="29"/>
  <c r="Q90" i="29"/>
  <c r="I90" i="29"/>
  <c r="Z90" i="29"/>
  <c r="H90" i="29"/>
  <c r="J90" i="29"/>
  <c r="N90" i="29"/>
  <c r="B82" i="29"/>
  <c r="AI82" i="29"/>
  <c r="AE82" i="29"/>
  <c r="AA82" i="29"/>
  <c r="W82" i="29"/>
  <c r="S82" i="29"/>
  <c r="O82" i="29"/>
  <c r="K82" i="29"/>
  <c r="G82" i="29"/>
  <c r="AD82" i="29"/>
  <c r="T82" i="29"/>
  <c r="L82" i="29"/>
  <c r="AF82" i="29"/>
  <c r="R82" i="29"/>
  <c r="AJ82" i="29"/>
  <c r="V82" i="29"/>
  <c r="F82" i="29"/>
  <c r="AG82" i="29"/>
  <c r="Y82" i="29"/>
  <c r="Q82" i="29"/>
  <c r="I82" i="29"/>
  <c r="Z82" i="29"/>
  <c r="H82" i="29"/>
  <c r="J82" i="29"/>
  <c r="N82" i="29"/>
  <c r="B60" i="29"/>
  <c r="AI60" i="29"/>
  <c r="AE60" i="29"/>
  <c r="AA60" i="29"/>
  <c r="W60" i="29"/>
  <c r="S60" i="29"/>
  <c r="O60" i="29"/>
  <c r="K60" i="29"/>
  <c r="G60" i="29"/>
  <c r="AK60" i="29"/>
  <c r="AC60" i="29"/>
  <c r="U60" i="29"/>
  <c r="M60" i="29"/>
  <c r="AH60" i="29"/>
  <c r="Z60" i="29"/>
  <c r="P60" i="29"/>
  <c r="H60" i="29"/>
  <c r="AF60" i="29"/>
  <c r="X60" i="29"/>
  <c r="R60" i="29"/>
  <c r="J60" i="29"/>
  <c r="AG60" i="29"/>
  <c r="Q60" i="29"/>
  <c r="AD60" i="29"/>
  <c r="L60" i="29"/>
  <c r="AB60" i="29"/>
  <c r="N60" i="29"/>
  <c r="B56" i="29"/>
  <c r="AI56" i="29"/>
  <c r="AE56" i="29"/>
  <c r="AA56" i="29"/>
  <c r="W56" i="29"/>
  <c r="S56" i="29"/>
  <c r="O56" i="29"/>
  <c r="K56" i="29"/>
  <c r="G56" i="29"/>
  <c r="AD56" i="29"/>
  <c r="T56" i="29"/>
  <c r="L56" i="29"/>
  <c r="AJ56" i="29"/>
  <c r="AB56" i="29"/>
  <c r="V56" i="29"/>
  <c r="N56" i="29"/>
  <c r="F56" i="29"/>
  <c r="AK56" i="29"/>
  <c r="AC56" i="29"/>
  <c r="U56" i="29"/>
  <c r="M56" i="29"/>
  <c r="AH56" i="29"/>
  <c r="P56" i="29"/>
  <c r="AF56" i="29"/>
  <c r="R56" i="29"/>
  <c r="AG56" i="29"/>
  <c r="Q56" i="29"/>
  <c r="Z56" i="29"/>
  <c r="X56" i="29"/>
  <c r="B48" i="29"/>
  <c r="AI48" i="29"/>
  <c r="AE48" i="29"/>
  <c r="AA48" i="29"/>
  <c r="W48" i="29"/>
  <c r="S48" i="29"/>
  <c r="O48" i="29"/>
  <c r="K48" i="29"/>
  <c r="G48" i="29"/>
  <c r="AH48" i="29"/>
  <c r="AD48" i="29"/>
  <c r="Z48" i="29"/>
  <c r="V48" i="29"/>
  <c r="R48" i="29"/>
  <c r="N48" i="29"/>
  <c r="J48" i="29"/>
  <c r="F48" i="29"/>
  <c r="AK48" i="29"/>
  <c r="AC48" i="29"/>
  <c r="U48" i="29"/>
  <c r="M48" i="29"/>
  <c r="AJ48" i="29"/>
  <c r="AB48" i="29"/>
  <c r="T48" i="29"/>
  <c r="L48" i="29"/>
  <c r="AG48" i="29"/>
  <c r="Q48" i="29"/>
  <c r="AF48" i="29"/>
  <c r="P48" i="29"/>
  <c r="B44" i="29"/>
  <c r="H44" i="29"/>
  <c r="T44" i="29"/>
  <c r="AI44" i="29"/>
  <c r="AE44" i="29"/>
  <c r="AA44" i="29"/>
  <c r="W44" i="29"/>
  <c r="S44" i="29"/>
  <c r="O44" i="29"/>
  <c r="K44" i="29"/>
  <c r="G44" i="29"/>
  <c r="AH44" i="29"/>
  <c r="AD44" i="29"/>
  <c r="Z44" i="29"/>
  <c r="AG44" i="29"/>
  <c r="Y44" i="29"/>
  <c r="Q44" i="29"/>
  <c r="I44" i="29"/>
  <c r="AF44" i="29"/>
  <c r="P44" i="29"/>
  <c r="L44" i="29"/>
  <c r="AK44" i="29"/>
  <c r="U44" i="29"/>
  <c r="AJ44" i="29"/>
  <c r="J44" i="29"/>
  <c r="R44" i="29"/>
  <c r="X44" i="29"/>
  <c r="B36" i="29"/>
  <c r="P36" i="29"/>
  <c r="T36" i="29"/>
  <c r="AH36" i="29"/>
  <c r="AI36" i="29"/>
  <c r="AE36" i="29"/>
  <c r="AA36" i="29"/>
  <c r="W36" i="29"/>
  <c r="S36" i="29"/>
  <c r="O36" i="29"/>
  <c r="K36" i="29"/>
  <c r="G36" i="29"/>
  <c r="AD36" i="29"/>
  <c r="Z36" i="29"/>
  <c r="AG36" i="29"/>
  <c r="Y36" i="29"/>
  <c r="Q36" i="29"/>
  <c r="I36" i="29"/>
  <c r="AK36" i="29"/>
  <c r="U36" i="29"/>
  <c r="F36" i="29"/>
  <c r="N36" i="29"/>
  <c r="V36" i="29"/>
  <c r="AB36" i="29"/>
  <c r="AJ36" i="29"/>
  <c r="AH12" i="29"/>
  <c r="T12" i="29"/>
  <c r="AD12" i="29"/>
  <c r="H12" i="29"/>
  <c r="AI12" i="29"/>
  <c r="AE12" i="29"/>
  <c r="AA12" i="29"/>
  <c r="W12" i="29"/>
  <c r="S12" i="29"/>
  <c r="O12" i="29"/>
  <c r="K12" i="29"/>
  <c r="G12" i="29"/>
  <c r="Z12" i="29"/>
  <c r="P12" i="29"/>
  <c r="AG12" i="29"/>
  <c r="Y12" i="29"/>
  <c r="Q12" i="29"/>
  <c r="I12" i="29"/>
  <c r="L12" i="29"/>
  <c r="AK12" i="29"/>
  <c r="U12" i="29"/>
  <c r="J12" i="29"/>
  <c r="R12" i="29"/>
  <c r="X12" i="29"/>
  <c r="AF12" i="29"/>
  <c r="B8" i="29"/>
  <c r="U8" i="29"/>
  <c r="C69" i="12"/>
  <c r="C70" i="12" s="1"/>
  <c r="C71" i="12" s="1"/>
  <c r="B106" i="29"/>
  <c r="AI106" i="29"/>
  <c r="AE106" i="29"/>
  <c r="AA106" i="29"/>
  <c r="W106" i="29"/>
  <c r="S106" i="29"/>
  <c r="O106" i="29"/>
  <c r="K106" i="29"/>
  <c r="G106" i="29"/>
  <c r="AF106" i="29"/>
  <c r="X106" i="29"/>
  <c r="AG106" i="29"/>
  <c r="Y106" i="29"/>
  <c r="Q106" i="29"/>
  <c r="I106" i="29"/>
  <c r="AB106" i="29"/>
  <c r="R106" i="29"/>
  <c r="J106" i="29"/>
  <c r="AD106" i="29"/>
  <c r="H106" i="29"/>
  <c r="T106" i="29"/>
  <c r="L106" i="29"/>
  <c r="B105" i="29"/>
  <c r="N105" i="29"/>
  <c r="AI105" i="29"/>
  <c r="AE105" i="29"/>
  <c r="AA105" i="29"/>
  <c r="W105" i="29"/>
  <c r="S105" i="29"/>
  <c r="O105" i="29"/>
  <c r="K105" i="29"/>
  <c r="G105" i="29"/>
  <c r="AD105" i="29"/>
  <c r="T105" i="29"/>
  <c r="L105" i="29"/>
  <c r="AF105" i="29"/>
  <c r="R105" i="29"/>
  <c r="AJ105" i="29"/>
  <c r="F105" i="29"/>
  <c r="B104" i="29"/>
  <c r="AI104" i="29"/>
  <c r="AE104" i="29"/>
  <c r="AA104" i="29"/>
  <c r="W104" i="29"/>
  <c r="S104" i="29"/>
  <c r="O104" i="29"/>
  <c r="K104" i="29"/>
  <c r="G104" i="29"/>
  <c r="AF104" i="29"/>
  <c r="X104" i="29"/>
  <c r="R104" i="29"/>
  <c r="J104" i="29"/>
  <c r="AH104" i="29"/>
  <c r="T104" i="29"/>
  <c r="H104" i="29"/>
  <c r="P104" i="29"/>
  <c r="AG104" i="29"/>
  <c r="Y104" i="29"/>
  <c r="Q104" i="29"/>
  <c r="I104" i="29"/>
  <c r="AB104" i="29"/>
  <c r="N104" i="29"/>
  <c r="Z104" i="29"/>
  <c r="AD104" i="29"/>
  <c r="H103" i="29"/>
  <c r="B103" i="29"/>
  <c r="AK103" i="29"/>
  <c r="AG103" i="29"/>
  <c r="AC103" i="29"/>
  <c r="AD103" i="29"/>
  <c r="Y103" i="29"/>
  <c r="U103" i="29"/>
  <c r="Q103" i="29"/>
  <c r="M103" i="29"/>
  <c r="I103" i="29"/>
  <c r="AJ103" i="29"/>
  <c r="X103" i="29"/>
  <c r="R103" i="29"/>
  <c r="J103" i="29"/>
  <c r="Z103" i="29"/>
  <c r="L103" i="29"/>
  <c r="AF103" i="29"/>
  <c r="B102" i="29"/>
  <c r="AI102" i="29"/>
  <c r="AE102" i="29"/>
  <c r="AA102" i="29"/>
  <c r="W102" i="29"/>
  <c r="S102" i="29"/>
  <c r="O102" i="29"/>
  <c r="K102" i="29"/>
  <c r="G102" i="29"/>
  <c r="AD102" i="29"/>
  <c r="T102" i="29"/>
  <c r="L102" i="29"/>
  <c r="AJ102" i="29"/>
  <c r="V102" i="29"/>
  <c r="F102" i="29"/>
  <c r="R102" i="29"/>
  <c r="J102" i="29"/>
  <c r="AG102" i="29"/>
  <c r="Y102" i="29"/>
  <c r="Q102" i="29"/>
  <c r="I102" i="29"/>
  <c r="Z102" i="29"/>
  <c r="H102" i="29"/>
  <c r="N102" i="29"/>
  <c r="X102" i="29"/>
  <c r="B101" i="29"/>
  <c r="L101" i="29"/>
  <c r="AK101" i="29"/>
  <c r="AG101" i="29"/>
  <c r="AC101" i="29"/>
  <c r="Y101" i="29"/>
  <c r="U101" i="29"/>
  <c r="Q101" i="29"/>
  <c r="M101" i="29"/>
  <c r="I101" i="29"/>
  <c r="AJ101" i="29"/>
  <c r="AB101" i="29"/>
  <c r="V101" i="29"/>
  <c r="N101" i="29"/>
  <c r="F101" i="29"/>
  <c r="P101" i="29"/>
  <c r="AH101" i="29"/>
  <c r="B100" i="29"/>
  <c r="AI100" i="29"/>
  <c r="AE100" i="29"/>
  <c r="AA100" i="29"/>
  <c r="W100" i="29"/>
  <c r="S100" i="29"/>
  <c r="O100" i="29"/>
  <c r="K100" i="29"/>
  <c r="G100" i="29"/>
  <c r="AD100" i="29"/>
  <c r="T100" i="29"/>
  <c r="L100" i="29"/>
  <c r="AF100" i="29"/>
  <c r="R100" i="29"/>
  <c r="AJ100" i="29"/>
  <c r="F100" i="29"/>
  <c r="N100" i="29"/>
  <c r="AG100" i="29"/>
  <c r="Y100" i="29"/>
  <c r="Q100" i="29"/>
  <c r="I100" i="29"/>
  <c r="Z100" i="29"/>
  <c r="H100" i="29"/>
  <c r="J100" i="29"/>
  <c r="AB100" i="29"/>
  <c r="P99" i="29"/>
  <c r="B99" i="29"/>
  <c r="AD99" i="29"/>
  <c r="AI99" i="29"/>
  <c r="AE99" i="29"/>
  <c r="AA99" i="29"/>
  <c r="W99" i="29"/>
  <c r="S99" i="29"/>
  <c r="O99" i="29"/>
  <c r="K99" i="29"/>
  <c r="G99" i="29"/>
  <c r="AF99" i="29"/>
  <c r="X99" i="29"/>
  <c r="R99" i="29"/>
  <c r="J99" i="29"/>
  <c r="AH99" i="29"/>
  <c r="T99" i="29"/>
  <c r="H99" i="29"/>
  <c r="B98" i="29"/>
  <c r="AI98" i="29"/>
  <c r="AE98" i="29"/>
  <c r="AA98" i="29"/>
  <c r="W98" i="29"/>
  <c r="S98" i="29"/>
  <c r="O98" i="29"/>
  <c r="K98" i="29"/>
  <c r="G98" i="29"/>
  <c r="AD98" i="29"/>
  <c r="T98" i="29"/>
  <c r="L98" i="29"/>
  <c r="AJ98" i="29"/>
  <c r="V98" i="29"/>
  <c r="F98" i="29"/>
  <c r="J98" i="29"/>
  <c r="R98" i="29"/>
  <c r="AG98" i="29"/>
  <c r="Y98" i="29"/>
  <c r="Q98" i="29"/>
  <c r="I98" i="29"/>
  <c r="Z98" i="29"/>
  <c r="H98" i="29"/>
  <c r="N98" i="29"/>
  <c r="AF98" i="29"/>
  <c r="B97" i="29"/>
  <c r="AH97" i="29"/>
  <c r="AI97" i="29"/>
  <c r="AE97" i="29"/>
  <c r="AA97" i="29"/>
  <c r="W97" i="29"/>
  <c r="S97" i="29"/>
  <c r="O97" i="29"/>
  <c r="K97" i="29"/>
  <c r="G97" i="29"/>
  <c r="AF97" i="29"/>
  <c r="X97" i="29"/>
  <c r="R97" i="29"/>
  <c r="J97" i="29"/>
  <c r="AD97" i="29"/>
  <c r="H97" i="29"/>
  <c r="L97" i="29"/>
  <c r="Y95" i="29"/>
  <c r="K95" i="29"/>
  <c r="R95" i="29"/>
  <c r="AK91" i="29"/>
  <c r="O91" i="29"/>
  <c r="X91" i="29"/>
  <c r="P91" i="29"/>
  <c r="Y83" i="29"/>
  <c r="K83" i="29"/>
  <c r="R83" i="29"/>
  <c r="P83" i="29"/>
  <c r="Y79" i="29"/>
  <c r="K79" i="29"/>
  <c r="AF79" i="29"/>
  <c r="W75" i="29"/>
  <c r="I75" i="29"/>
  <c r="F75" i="29"/>
  <c r="AJ75" i="29"/>
  <c r="AI71" i="29"/>
  <c r="U71" i="29"/>
  <c r="F71" i="29"/>
  <c r="AJ71" i="29"/>
  <c r="Y61" i="29"/>
  <c r="K61" i="29"/>
  <c r="J61" i="29"/>
  <c r="W53" i="29"/>
  <c r="R53" i="29"/>
  <c r="AD49" i="29"/>
  <c r="AJ49" i="29"/>
  <c r="G49" i="29"/>
  <c r="AC49" i="29"/>
  <c r="G45" i="29"/>
  <c r="AC45" i="29"/>
  <c r="G37" i="29"/>
  <c r="AC37" i="29"/>
  <c r="AJ33" i="29"/>
  <c r="O33" i="29"/>
  <c r="G13" i="29"/>
  <c r="AC13" i="29"/>
  <c r="C51" i="29"/>
  <c r="C52" i="26"/>
  <c r="C52" i="29" s="1"/>
  <c r="C21" i="26"/>
  <c r="C20" i="29"/>
  <c r="Z20" i="29"/>
  <c r="AF24" i="29"/>
  <c r="N28" i="29"/>
  <c r="I32" i="29"/>
  <c r="AA32" i="29"/>
  <c r="AK32" i="29"/>
  <c r="I40" i="29"/>
  <c r="AA40" i="29"/>
  <c r="AK40" i="29"/>
  <c r="I52" i="29"/>
  <c r="AA52" i="29"/>
  <c r="AK52" i="29"/>
  <c r="Y57" i="29"/>
  <c r="AE57" i="29"/>
  <c r="K64" i="29"/>
  <c r="S64" i="29"/>
  <c r="AA64" i="29"/>
  <c r="AG64" i="29"/>
  <c r="AK64" i="29"/>
  <c r="Y67" i="29"/>
  <c r="AE67" i="29"/>
  <c r="K70" i="29"/>
  <c r="S70" i="29"/>
  <c r="AA70" i="29"/>
  <c r="AG70" i="29"/>
  <c r="AK70" i="29"/>
  <c r="K74" i="29"/>
  <c r="S74" i="29"/>
  <c r="AA74" i="29"/>
  <c r="AG74" i="29"/>
  <c r="AK74" i="29"/>
  <c r="K78" i="29"/>
  <c r="S78" i="29"/>
  <c r="AA78" i="29"/>
  <c r="AG78" i="29"/>
  <c r="AK78" i="29"/>
  <c r="K86" i="29"/>
  <c r="S86" i="29"/>
  <c r="AA86" i="29"/>
  <c r="AG86" i="29"/>
  <c r="AK86" i="29"/>
  <c r="Y87" i="29"/>
  <c r="AE87" i="29"/>
  <c r="W8" i="29"/>
  <c r="AA8" i="29"/>
  <c r="AD8" i="29"/>
  <c r="AG8" i="29"/>
  <c r="AK8" i="29"/>
  <c r="N8" i="29"/>
  <c r="R8" i="29"/>
  <c r="AH17" i="29"/>
  <c r="F20" i="29"/>
  <c r="AF20" i="29"/>
  <c r="X21" i="29"/>
  <c r="Z24" i="29"/>
  <c r="V28" i="29"/>
  <c r="L29" i="29"/>
  <c r="S32" i="29"/>
  <c r="AD32" i="29"/>
  <c r="S40" i="29"/>
  <c r="AD40" i="29"/>
  <c r="Q41" i="29"/>
  <c r="S52" i="29"/>
  <c r="AD52" i="29"/>
  <c r="W57" i="29"/>
  <c r="AD57" i="29"/>
  <c r="AI57" i="29"/>
  <c r="M64" i="29"/>
  <c r="U64" i="29"/>
  <c r="AC64" i="29"/>
  <c r="W67" i="29"/>
  <c r="AD67" i="29"/>
  <c r="AI67" i="29"/>
  <c r="M70" i="29"/>
  <c r="U70" i="29"/>
  <c r="AC70" i="29"/>
  <c r="M74" i="29"/>
  <c r="U74" i="29"/>
  <c r="AC74" i="29"/>
  <c r="M78" i="29"/>
  <c r="U78" i="29"/>
  <c r="AC78" i="29"/>
  <c r="M86" i="29"/>
  <c r="U86" i="29"/>
  <c r="AC86" i="29"/>
  <c r="W87" i="29"/>
  <c r="AD87" i="29"/>
  <c r="AI87" i="29"/>
  <c r="AF87" i="29"/>
  <c r="Z87" i="29"/>
  <c r="T87" i="29"/>
  <c r="P87" i="29"/>
  <c r="L87" i="29"/>
  <c r="F87" i="29"/>
  <c r="AF86" i="29"/>
  <c r="Z86" i="29"/>
  <c r="T86" i="29"/>
  <c r="P86" i="29"/>
  <c r="L86" i="29"/>
  <c r="F86" i="29"/>
  <c r="AF78" i="29"/>
  <c r="Z78" i="29"/>
  <c r="T78" i="29"/>
  <c r="P78" i="29"/>
  <c r="L78" i="29"/>
  <c r="F78" i="29"/>
  <c r="AF74" i="29"/>
  <c r="Z74" i="29"/>
  <c r="T74" i="29"/>
  <c r="P74" i="29"/>
  <c r="L74" i="29"/>
  <c r="F74" i="29"/>
  <c r="AF70" i="29"/>
  <c r="S16" i="29"/>
  <c r="O16" i="29"/>
  <c r="K16" i="29"/>
  <c r="O8" i="29"/>
  <c r="AB8" i="29"/>
  <c r="AB105" i="29"/>
  <c r="T101" i="29"/>
  <c r="P95" i="29"/>
  <c r="V75" i="29"/>
  <c r="V71" i="29"/>
  <c r="AB65" i="29"/>
  <c r="N65" i="29"/>
  <c r="AF53" i="29"/>
  <c r="O49" i="29"/>
  <c r="O45" i="29"/>
  <c r="O37" i="29"/>
  <c r="G33" i="29"/>
  <c r="AC25" i="29"/>
  <c r="O13" i="29"/>
  <c r="V105" i="29"/>
  <c r="X105" i="29"/>
  <c r="P105" i="29"/>
  <c r="AH105" i="29"/>
  <c r="M105" i="29"/>
  <c r="U105" i="29"/>
  <c r="AC105" i="29"/>
  <c r="AK105" i="29"/>
  <c r="F103" i="29"/>
  <c r="V103" i="29"/>
  <c r="G103" i="29"/>
  <c r="O103" i="29"/>
  <c r="W103" i="29"/>
  <c r="AH103" i="29"/>
  <c r="AI103" i="29"/>
  <c r="AD101" i="29"/>
  <c r="R101" i="29"/>
  <c r="AF101" i="29"/>
  <c r="K101" i="29"/>
  <c r="S101" i="29"/>
  <c r="AA101" i="29"/>
  <c r="AI101" i="29"/>
  <c r="Z99" i="29"/>
  <c r="N99" i="29"/>
  <c r="AB99" i="29"/>
  <c r="I99" i="29"/>
  <c r="Q99" i="29"/>
  <c r="Y99" i="29"/>
  <c r="AG99" i="29"/>
  <c r="P97" i="29"/>
  <c r="N97" i="29"/>
  <c r="AB97" i="29"/>
  <c r="I97" i="29"/>
  <c r="Q97" i="29"/>
  <c r="Y97" i="29"/>
  <c r="AG97" i="29"/>
  <c r="AF95" i="29"/>
  <c r="AG95" i="29"/>
  <c r="J91" i="29"/>
  <c r="AC91" i="29"/>
  <c r="AF83" i="29"/>
  <c r="AG83" i="29"/>
  <c r="AG79" i="29"/>
  <c r="AE75" i="29"/>
  <c r="M71" i="29"/>
  <c r="G65" i="29"/>
  <c r="O65" i="29"/>
  <c r="W65" i="29"/>
  <c r="AE65" i="29"/>
  <c r="AG61" i="29"/>
  <c r="K53" i="29"/>
  <c r="V44" i="29"/>
  <c r="F44" i="29"/>
  <c r="X36" i="29"/>
  <c r="J36" i="29"/>
  <c r="AB12" i="29"/>
  <c r="N12" i="29"/>
  <c r="Z106" i="29"/>
  <c r="P106" i="29"/>
  <c r="N106" i="29"/>
  <c r="AJ106" i="29"/>
  <c r="U106" i="29"/>
  <c r="AK106" i="29"/>
  <c r="F104" i="29"/>
  <c r="AJ104" i="29"/>
  <c r="U104" i="29"/>
  <c r="AK104" i="29"/>
  <c r="AB102" i="29"/>
  <c r="AH102" i="29"/>
  <c r="U102" i="29"/>
  <c r="AK102" i="29"/>
  <c r="X100" i="29"/>
  <c r="AH100" i="29"/>
  <c r="U100" i="29"/>
  <c r="AK100" i="29"/>
  <c r="AB98" i="29"/>
  <c r="AH98" i="29"/>
  <c r="U98" i="29"/>
  <c r="AK98" i="29"/>
  <c r="X94" i="29"/>
  <c r="AH94" i="29"/>
  <c r="U94" i="29"/>
  <c r="AK94" i="29"/>
  <c r="X90" i="29"/>
  <c r="AH90" i="29"/>
  <c r="U90" i="29"/>
  <c r="AK90" i="29"/>
  <c r="X82" i="29"/>
  <c r="AH82" i="29"/>
  <c r="U82" i="29"/>
  <c r="AK82" i="29"/>
  <c r="F60" i="29"/>
  <c r="AJ60" i="29"/>
  <c r="I60" i="29"/>
  <c r="J56" i="29"/>
  <c r="I56" i="29"/>
  <c r="H48" i="29"/>
  <c r="I48" i="29"/>
  <c r="AB44" i="29"/>
  <c r="AC44" i="29"/>
  <c r="AC36" i="29"/>
  <c r="AC12" i="29"/>
  <c r="L36" i="29"/>
  <c r="Z101" i="29"/>
  <c r="H36" i="29"/>
  <c r="Z70" i="29"/>
  <c r="T70" i="29"/>
  <c r="P70" i="29"/>
  <c r="L70" i="29"/>
  <c r="F70" i="29"/>
  <c r="AF67" i="29"/>
  <c r="Z67" i="29"/>
  <c r="T67" i="29"/>
  <c r="P67" i="29"/>
  <c r="L67" i="29"/>
  <c r="F67" i="29"/>
  <c r="AF64" i="29"/>
  <c r="Z64" i="29"/>
  <c r="T64" i="29"/>
  <c r="P64" i="29"/>
  <c r="L64" i="29"/>
  <c r="F64" i="29"/>
  <c r="AF57" i="29"/>
  <c r="Z57" i="29"/>
  <c r="T57" i="29"/>
  <c r="P57" i="29"/>
  <c r="L57" i="29"/>
  <c r="F57" i="29"/>
  <c r="AC52" i="29"/>
  <c r="U52" i="29"/>
  <c r="M52" i="29"/>
  <c r="AF52" i="29"/>
  <c r="Z52" i="29"/>
  <c r="T52" i="29"/>
  <c r="P52" i="29"/>
  <c r="L52" i="29"/>
  <c r="F52" i="29"/>
  <c r="AI41" i="29"/>
  <c r="AD41" i="29"/>
  <c r="W41" i="29"/>
  <c r="AC40" i="29"/>
  <c r="U40" i="29"/>
  <c r="M40" i="29"/>
  <c r="AF40" i="29"/>
  <c r="Z40" i="29"/>
  <c r="T40" i="29"/>
  <c r="P40" i="29"/>
  <c r="L40" i="29"/>
  <c r="F40" i="29"/>
  <c r="AC32" i="29"/>
  <c r="U32" i="29"/>
  <c r="M32" i="29"/>
  <c r="AF32" i="29"/>
  <c r="Z32" i="29"/>
  <c r="T32" i="29"/>
  <c r="P32" i="29"/>
  <c r="L32" i="29"/>
  <c r="F32" i="29"/>
  <c r="AH28" i="29"/>
  <c r="AB28" i="29"/>
  <c r="T28" i="29"/>
  <c r="L28" i="29"/>
  <c r="AK28" i="29"/>
  <c r="AG28" i="29"/>
  <c r="AD28" i="29"/>
  <c r="AA28" i="29"/>
  <c r="W28" i="29"/>
  <c r="S28" i="29"/>
  <c r="O28" i="29"/>
  <c r="K28" i="29"/>
  <c r="R24" i="29"/>
  <c r="X24" i="29"/>
  <c r="P24" i="29"/>
  <c r="AI24" i="29"/>
  <c r="AE24" i="29"/>
  <c r="AC24" i="29"/>
  <c r="Y24" i="29"/>
  <c r="U24" i="29"/>
  <c r="Q24" i="29"/>
  <c r="M24" i="29"/>
  <c r="I24" i="29"/>
  <c r="AH20" i="29"/>
  <c r="AB20" i="29"/>
  <c r="T20" i="29"/>
  <c r="L20" i="29"/>
  <c r="AK20" i="29"/>
  <c r="AG20" i="29"/>
  <c r="AD20" i="29"/>
  <c r="AA20" i="29"/>
  <c r="W20" i="29"/>
  <c r="S20" i="29"/>
  <c r="O20" i="29"/>
  <c r="K20" i="29"/>
  <c r="X16" i="29"/>
  <c r="AB16" i="29"/>
  <c r="AF16" i="29"/>
  <c r="R16" i="29"/>
  <c r="F16" i="29"/>
  <c r="AI16" i="29"/>
  <c r="AE16" i="29"/>
  <c r="AC16" i="29"/>
  <c r="Y16" i="29"/>
  <c r="Q16" i="29"/>
  <c r="M16" i="29"/>
  <c r="I16" i="29"/>
  <c r="AF8" i="29"/>
  <c r="M8" i="29"/>
  <c r="S8" i="29"/>
  <c r="Z65" i="29"/>
  <c r="B17" i="12"/>
  <c r="B18" i="12" s="1"/>
  <c r="B19" i="12" s="1"/>
  <c r="T65" i="29"/>
  <c r="AH65" i="29"/>
  <c r="U38" i="29"/>
  <c r="J38" i="29"/>
  <c r="W14" i="29"/>
  <c r="AF14" i="29"/>
  <c r="U10" i="29"/>
  <c r="J10" i="29"/>
  <c r="AI93" i="29"/>
  <c r="U93" i="29"/>
  <c r="AJ93" i="29"/>
  <c r="F93" i="29"/>
  <c r="AH93" i="29"/>
  <c r="AK89" i="29"/>
  <c r="O89" i="29"/>
  <c r="X89" i="29"/>
  <c r="L89" i="29"/>
  <c r="AG85" i="29"/>
  <c r="S85" i="29"/>
  <c r="AF85" i="29"/>
  <c r="L85" i="29"/>
  <c r="AE81" i="29"/>
  <c r="Q81" i="29"/>
  <c r="X81" i="29"/>
  <c r="F81" i="29"/>
  <c r="AH81" i="29"/>
  <c r="Z73" i="29"/>
  <c r="AK73" i="29"/>
  <c r="O73" i="29"/>
  <c r="V73" i="29"/>
  <c r="AJ73" i="29"/>
  <c r="Z63" i="29"/>
  <c r="AK63" i="29"/>
  <c r="O63" i="29"/>
  <c r="X63" i="29"/>
  <c r="AI55" i="29"/>
  <c r="U55" i="29"/>
  <c r="AB55" i="29"/>
  <c r="AG51" i="29"/>
  <c r="AF51" i="29"/>
  <c r="M47" i="29"/>
  <c r="AA47" i="29"/>
  <c r="AF39" i="29"/>
  <c r="U39" i="29"/>
  <c r="AI39" i="29"/>
  <c r="H27" i="29"/>
  <c r="U27" i="29"/>
  <c r="AI27" i="29"/>
  <c r="U11" i="29"/>
  <c r="AI11" i="29"/>
  <c r="T93" i="29"/>
  <c r="Z89" i="29"/>
  <c r="F73" i="29"/>
  <c r="N55" i="29"/>
  <c r="U47" i="29"/>
  <c r="AA39" i="29"/>
  <c r="AA27" i="29"/>
  <c r="AA11" i="29"/>
  <c r="V93" i="29"/>
  <c r="AA93" i="29"/>
  <c r="G89" i="29"/>
  <c r="R85" i="29"/>
  <c r="Y85" i="29"/>
  <c r="I81" i="29"/>
  <c r="G73" i="29"/>
  <c r="G63" i="29"/>
  <c r="M55" i="29"/>
  <c r="S51" i="29"/>
  <c r="AC31" i="29"/>
  <c r="AC35" i="29"/>
  <c r="AC43" i="29"/>
  <c r="K50" i="29"/>
  <c r="W50" i="29"/>
  <c r="AI50" i="29"/>
  <c r="AC59" i="29"/>
  <c r="W62" i="29"/>
  <c r="AD62" i="29"/>
  <c r="AI62" i="29"/>
  <c r="AC69" i="29"/>
  <c r="M77" i="29"/>
  <c r="U77" i="29"/>
  <c r="W80" i="29"/>
  <c r="AD80" i="29"/>
  <c r="AI80" i="29"/>
  <c r="AA59" i="29"/>
  <c r="AG59" i="29"/>
  <c r="AK59" i="29"/>
  <c r="Y62" i="29"/>
  <c r="AE62" i="29"/>
  <c r="AA69" i="29"/>
  <c r="AG69" i="29"/>
  <c r="AK69" i="29"/>
  <c r="K77" i="29"/>
  <c r="S77" i="29"/>
  <c r="Y80" i="29"/>
  <c r="AE80" i="29"/>
  <c r="AE50" i="29"/>
  <c r="Y50" i="29"/>
  <c r="AK43" i="29"/>
  <c r="AG43" i="29"/>
  <c r="AA43" i="29"/>
  <c r="AK35" i="29"/>
  <c r="AG35" i="29"/>
  <c r="AA35" i="29"/>
  <c r="AK31" i="29"/>
  <c r="AG31" i="29"/>
  <c r="AA31" i="29"/>
  <c r="T66" i="29"/>
  <c r="V66" i="29"/>
  <c r="Q96" i="29"/>
  <c r="H96" i="29"/>
  <c r="M96" i="29"/>
  <c r="M92" i="29"/>
  <c r="F92" i="29"/>
  <c r="T92" i="29"/>
  <c r="I84" i="29"/>
  <c r="X84" i="29"/>
  <c r="L84" i="29"/>
  <c r="AI76" i="29"/>
  <c r="AH76" i="29"/>
  <c r="F76" i="29"/>
  <c r="AJ76" i="29"/>
  <c r="AE72" i="29"/>
  <c r="Z72" i="29"/>
  <c r="AB72" i="29"/>
  <c r="F42" i="29"/>
  <c r="AJ42" i="29"/>
  <c r="AD93" i="29"/>
  <c r="P93" i="29"/>
  <c r="H93" i="29"/>
  <c r="AK93" i="29"/>
  <c r="AG93" i="29"/>
  <c r="AC93" i="29"/>
  <c r="Y93" i="29"/>
  <c r="S93" i="29"/>
  <c r="O93" i="29"/>
  <c r="K93" i="29"/>
  <c r="G93" i="29"/>
  <c r="AF93" i="29"/>
  <c r="X93" i="29"/>
  <c r="R93" i="29"/>
  <c r="J93" i="29"/>
  <c r="B89" i="29"/>
  <c r="P89" i="29"/>
  <c r="H89" i="29"/>
  <c r="AD89" i="29"/>
  <c r="AI89" i="29"/>
  <c r="AE89" i="29"/>
  <c r="AA89" i="29"/>
  <c r="W89" i="29"/>
  <c r="U89" i="29"/>
  <c r="Q89" i="29"/>
  <c r="M89" i="29"/>
  <c r="I89" i="29"/>
  <c r="AJ89" i="29"/>
  <c r="AB89" i="29"/>
  <c r="V89" i="29"/>
  <c r="N89" i="29"/>
  <c r="F89" i="29"/>
  <c r="AD85" i="29"/>
  <c r="B85" i="29"/>
  <c r="AI85" i="29"/>
  <c r="AE85" i="29"/>
  <c r="AA85" i="29"/>
  <c r="W85" i="29"/>
  <c r="U85" i="29"/>
  <c r="Q85" i="29"/>
  <c r="M85" i="29"/>
  <c r="I85" i="29"/>
  <c r="AJ85" i="29"/>
  <c r="AB85" i="29"/>
  <c r="V85" i="29"/>
  <c r="N85" i="29"/>
  <c r="F85" i="29"/>
  <c r="B81" i="29"/>
  <c r="P81" i="29"/>
  <c r="H81" i="29"/>
  <c r="AK81" i="29"/>
  <c r="AG81" i="29"/>
  <c r="AC81" i="29"/>
  <c r="Y81" i="29"/>
  <c r="S81" i="29"/>
  <c r="O81" i="29"/>
  <c r="K81" i="29"/>
  <c r="AJ81" i="29"/>
  <c r="AB81" i="29"/>
  <c r="V81" i="29"/>
  <c r="N81" i="29"/>
  <c r="G81" i="29"/>
  <c r="P73" i="29"/>
  <c r="AH73" i="29"/>
  <c r="T73" i="29"/>
  <c r="H73" i="29"/>
  <c r="AD73" i="29"/>
  <c r="B73" i="29"/>
  <c r="L73" i="29"/>
  <c r="AI73" i="29"/>
  <c r="AE73" i="29"/>
  <c r="AA73" i="29"/>
  <c r="W73" i="29"/>
  <c r="U73" i="29"/>
  <c r="Q73" i="29"/>
  <c r="M73" i="29"/>
  <c r="I73" i="29"/>
  <c r="J73" i="29"/>
  <c r="R73" i="29"/>
  <c r="P63" i="29"/>
  <c r="AD63" i="29"/>
  <c r="AH63" i="29"/>
  <c r="T63" i="29"/>
  <c r="H63" i="29"/>
  <c r="B63" i="29"/>
  <c r="L63" i="29"/>
  <c r="AI63" i="29"/>
  <c r="AE63" i="29"/>
  <c r="AA63" i="29"/>
  <c r="W63" i="29"/>
  <c r="U63" i="29"/>
  <c r="Q63" i="29"/>
  <c r="M63" i="29"/>
  <c r="I63" i="29"/>
  <c r="F63" i="29"/>
  <c r="N63" i="29"/>
  <c r="V63" i="29"/>
  <c r="AB63" i="29"/>
  <c r="AJ63" i="29"/>
  <c r="P55" i="29"/>
  <c r="B55" i="29"/>
  <c r="Z55" i="29"/>
  <c r="L55" i="29"/>
  <c r="H55" i="29"/>
  <c r="AK55" i="29"/>
  <c r="AH55" i="29"/>
  <c r="AG55" i="29"/>
  <c r="AC55" i="29"/>
  <c r="Y55" i="29"/>
  <c r="S55" i="29"/>
  <c r="O55" i="29"/>
  <c r="K55" i="29"/>
  <c r="G55" i="29"/>
  <c r="J55" i="29"/>
  <c r="R55" i="29"/>
  <c r="X55" i="29"/>
  <c r="AF55" i="29"/>
  <c r="P51" i="29"/>
  <c r="AD51" i="29"/>
  <c r="AH51" i="29"/>
  <c r="T51" i="29"/>
  <c r="H51" i="29"/>
  <c r="AI51" i="29"/>
  <c r="AE51" i="29"/>
  <c r="AA51" i="29"/>
  <c r="W51" i="29"/>
  <c r="U51" i="29"/>
  <c r="Q51" i="29"/>
  <c r="M51" i="29"/>
  <c r="I51" i="29"/>
  <c r="Z51" i="29"/>
  <c r="AK51" i="29"/>
  <c r="AC51" i="29"/>
  <c r="O51" i="29"/>
  <c r="G51" i="29"/>
  <c r="F51" i="29"/>
  <c r="N51" i="29"/>
  <c r="V51" i="29"/>
  <c r="AB51" i="29"/>
  <c r="AJ51" i="29"/>
  <c r="AB47" i="29"/>
  <c r="V47" i="29"/>
  <c r="F47" i="29"/>
  <c r="AK47" i="29"/>
  <c r="AH47" i="29"/>
  <c r="Z47" i="29"/>
  <c r="T47" i="29"/>
  <c r="L47" i="29"/>
  <c r="R47" i="29"/>
  <c r="AF47" i="29"/>
  <c r="AJ47" i="29"/>
  <c r="AD47" i="29"/>
  <c r="P47" i="29"/>
  <c r="J47" i="29"/>
  <c r="G47" i="29"/>
  <c r="K47" i="29"/>
  <c r="O47" i="29"/>
  <c r="S47" i="29"/>
  <c r="Y47" i="29"/>
  <c r="AC47" i="29"/>
  <c r="AG47" i="29"/>
  <c r="AH39" i="29"/>
  <c r="AD39" i="29"/>
  <c r="H39" i="29"/>
  <c r="L39" i="29"/>
  <c r="Z39" i="29"/>
  <c r="AK39" i="29"/>
  <c r="F39" i="29"/>
  <c r="N39" i="29"/>
  <c r="V39" i="29"/>
  <c r="AB39" i="29"/>
  <c r="AJ39" i="29"/>
  <c r="P39" i="29"/>
  <c r="T39" i="29"/>
  <c r="B39" i="29"/>
  <c r="J39" i="29"/>
  <c r="X39" i="29"/>
  <c r="G39" i="29"/>
  <c r="K39" i="29"/>
  <c r="O39" i="29"/>
  <c r="S39" i="29"/>
  <c r="Y39" i="29"/>
  <c r="AC39" i="29"/>
  <c r="AG39" i="29"/>
  <c r="AF27" i="29"/>
  <c r="F27" i="29"/>
  <c r="AJ27" i="29"/>
  <c r="N27" i="29"/>
  <c r="R27" i="29"/>
  <c r="AK27" i="29"/>
  <c r="L27" i="29"/>
  <c r="T27" i="29"/>
  <c r="Z27" i="29"/>
  <c r="AH27" i="29"/>
  <c r="AB27" i="29"/>
  <c r="J27" i="29"/>
  <c r="P27" i="29"/>
  <c r="AD27" i="29"/>
  <c r="G27" i="29"/>
  <c r="K27" i="29"/>
  <c r="O27" i="29"/>
  <c r="S27" i="29"/>
  <c r="Y27" i="29"/>
  <c r="AC27" i="29"/>
  <c r="AG27" i="29"/>
  <c r="AD11" i="29"/>
  <c r="L11" i="29"/>
  <c r="T11" i="29"/>
  <c r="H11" i="29"/>
  <c r="AK11" i="29"/>
  <c r="F11" i="29"/>
  <c r="N11" i="29"/>
  <c r="V11" i="29"/>
  <c r="AB11" i="29"/>
  <c r="AJ11" i="29"/>
  <c r="Z11" i="29"/>
  <c r="B11" i="29"/>
  <c r="R11" i="29"/>
  <c r="AF11" i="29"/>
  <c r="G11" i="29"/>
  <c r="K11" i="29"/>
  <c r="O11" i="29"/>
  <c r="S11" i="29"/>
  <c r="Y11" i="29"/>
  <c r="AC11" i="29"/>
  <c r="AG11" i="29"/>
  <c r="P18" i="29"/>
  <c r="P23" i="29"/>
  <c r="AH30" i="29"/>
  <c r="K34" i="29"/>
  <c r="W34" i="29"/>
  <c r="AI34" i="29"/>
  <c r="W58" i="29"/>
  <c r="AD58" i="29"/>
  <c r="AI58" i="29"/>
  <c r="M59" i="29"/>
  <c r="U59" i="29"/>
  <c r="Y59" i="29"/>
  <c r="AE59" i="29"/>
  <c r="K62" i="29"/>
  <c r="S62" i="29"/>
  <c r="W68" i="29"/>
  <c r="AD68" i="29"/>
  <c r="AI68" i="29"/>
  <c r="M69" i="29"/>
  <c r="U69" i="29"/>
  <c r="Y69" i="29"/>
  <c r="AE69" i="29"/>
  <c r="Q77" i="29"/>
  <c r="AC77" i="29"/>
  <c r="K80" i="29"/>
  <c r="S80" i="29"/>
  <c r="W88" i="29"/>
  <c r="AD88" i="29"/>
  <c r="AI88" i="29"/>
  <c r="AB19" i="29"/>
  <c r="Y31" i="29"/>
  <c r="O34" i="29"/>
  <c r="M35" i="29"/>
  <c r="Y35" i="29"/>
  <c r="M43" i="29"/>
  <c r="Y43" i="29"/>
  <c r="O50" i="29"/>
  <c r="Y58" i="29"/>
  <c r="AE58" i="29"/>
  <c r="K59" i="29"/>
  <c r="S59" i="29"/>
  <c r="W59" i="29"/>
  <c r="AD59" i="29"/>
  <c r="AI59" i="29"/>
  <c r="M62" i="29"/>
  <c r="U62" i="29"/>
  <c r="Y68" i="29"/>
  <c r="AE68" i="29"/>
  <c r="K69" i="29"/>
  <c r="S69" i="29"/>
  <c r="W69" i="29"/>
  <c r="AD69" i="29"/>
  <c r="AI69" i="29"/>
  <c r="I77" i="29"/>
  <c r="O77" i="29"/>
  <c r="AA77" i="29"/>
  <c r="AG77" i="29"/>
  <c r="AK77" i="29"/>
  <c r="M80" i="29"/>
  <c r="U80" i="29"/>
  <c r="Y88" i="29"/>
  <c r="AE88" i="29"/>
  <c r="AH77" i="29"/>
  <c r="AB77" i="29"/>
  <c r="X77" i="29"/>
  <c r="R77" i="29"/>
  <c r="N77" i="29"/>
  <c r="AH69" i="29"/>
  <c r="AB69" i="29"/>
  <c r="X69" i="29"/>
  <c r="R69" i="29"/>
  <c r="N69" i="29"/>
  <c r="AH59" i="29"/>
  <c r="AB59" i="29"/>
  <c r="X59" i="29"/>
  <c r="R59" i="29"/>
  <c r="N59" i="29"/>
  <c r="U50" i="29"/>
  <c r="M50" i="29"/>
  <c r="AF50" i="29"/>
  <c r="Z50" i="29"/>
  <c r="T50" i="29"/>
  <c r="P50" i="29"/>
  <c r="L50" i="29"/>
  <c r="F50" i="29"/>
  <c r="AI43" i="29"/>
  <c r="AD43" i="29"/>
  <c r="W43" i="29"/>
  <c r="S43" i="29"/>
  <c r="K43" i="29"/>
  <c r="AH43" i="29"/>
  <c r="AB43" i="29"/>
  <c r="X43" i="29"/>
  <c r="R43" i="29"/>
  <c r="N43" i="29"/>
  <c r="AI35" i="29"/>
  <c r="AD35" i="29"/>
  <c r="W35" i="29"/>
  <c r="S35" i="29"/>
  <c r="K35" i="29"/>
  <c r="AH35" i="29"/>
  <c r="AB35" i="29"/>
  <c r="X35" i="29"/>
  <c r="R35" i="29"/>
  <c r="N35" i="29"/>
  <c r="AE34" i="29"/>
  <c r="Y34" i="29"/>
  <c r="AI31" i="29"/>
  <c r="AD31" i="29"/>
  <c r="W31" i="29"/>
  <c r="S31" i="29"/>
  <c r="AH31" i="29"/>
  <c r="AB31" i="29"/>
  <c r="X31" i="29"/>
  <c r="R31" i="29"/>
  <c r="F31" i="29"/>
  <c r="O31" i="29"/>
  <c r="K31" i="29"/>
  <c r="AF30" i="29"/>
  <c r="N30" i="29"/>
  <c r="AB30" i="29"/>
  <c r="T30" i="29"/>
  <c r="X23" i="29"/>
  <c r="L23" i="29"/>
  <c r="AF23" i="29"/>
  <c r="R23" i="29"/>
  <c r="F23" i="29"/>
  <c r="AI23" i="29"/>
  <c r="AE23" i="29"/>
  <c r="AC23" i="29"/>
  <c r="Y23" i="29"/>
  <c r="U23" i="29"/>
  <c r="Q23" i="29"/>
  <c r="M23" i="29"/>
  <c r="I23" i="29"/>
  <c r="X19" i="29"/>
  <c r="L19" i="29"/>
  <c r="AF19" i="29"/>
  <c r="R19" i="29"/>
  <c r="AK19" i="29"/>
  <c r="AG19" i="29"/>
  <c r="AD19" i="29"/>
  <c r="AA19" i="29"/>
  <c r="W19" i="29"/>
  <c r="S19" i="29"/>
  <c r="O19" i="29"/>
  <c r="K19" i="29"/>
  <c r="I19" i="29"/>
  <c r="V15" i="29"/>
  <c r="AH15" i="29"/>
  <c r="AB15" i="29"/>
  <c r="T15" i="29"/>
  <c r="L15" i="29"/>
  <c r="AK15" i="29"/>
  <c r="AG15" i="29"/>
  <c r="AD15" i="29"/>
  <c r="AA15" i="29"/>
  <c r="W15" i="29"/>
  <c r="S15" i="29"/>
  <c r="O15" i="29"/>
  <c r="K15" i="29"/>
  <c r="C86" i="26"/>
  <c r="C86" i="29" s="1"/>
  <c r="Z93" i="29"/>
  <c r="L93" i="29"/>
  <c r="AH89" i="29"/>
  <c r="T89" i="29"/>
  <c r="AH85" i="29"/>
  <c r="T85" i="29"/>
  <c r="Z81" i="29"/>
  <c r="L81" i="29"/>
  <c r="AF73" i="29"/>
  <c r="X73" i="29"/>
  <c r="N73" i="29"/>
  <c r="AF63" i="29"/>
  <c r="R63" i="29"/>
  <c r="AJ55" i="29"/>
  <c r="V55" i="29"/>
  <c r="F55" i="29"/>
  <c r="X51" i="29"/>
  <c r="J51" i="29"/>
  <c r="AE47" i="29"/>
  <c r="W47" i="29"/>
  <c r="Q47" i="29"/>
  <c r="I47" i="29"/>
  <c r="AE39" i="29"/>
  <c r="W39" i="29"/>
  <c r="Q39" i="29"/>
  <c r="I39" i="29"/>
  <c r="AE27" i="29"/>
  <c r="W27" i="29"/>
  <c r="Q27" i="29"/>
  <c r="I27" i="29"/>
  <c r="AE11" i="29"/>
  <c r="W11" i="29"/>
  <c r="Q11" i="29"/>
  <c r="I11" i="29"/>
  <c r="N93" i="29"/>
  <c r="AB93" i="29"/>
  <c r="I93" i="29"/>
  <c r="Q93" i="29"/>
  <c r="W93" i="29"/>
  <c r="AE93" i="29"/>
  <c r="R89" i="29"/>
  <c r="AF89" i="29"/>
  <c r="K89" i="29"/>
  <c r="S89" i="29"/>
  <c r="Y89" i="29"/>
  <c r="AG89" i="29"/>
  <c r="J85" i="29"/>
  <c r="X85" i="29"/>
  <c r="G85" i="29"/>
  <c r="O85" i="29"/>
  <c r="AC85" i="29"/>
  <c r="AK85" i="29"/>
  <c r="R81" i="29"/>
  <c r="AF81" i="29"/>
  <c r="M81" i="29"/>
  <c r="U81" i="29"/>
  <c r="AA81" i="29"/>
  <c r="AI81" i="29"/>
  <c r="K73" i="29"/>
  <c r="S73" i="29"/>
  <c r="Y73" i="29"/>
  <c r="AG73" i="29"/>
  <c r="K63" i="29"/>
  <c r="S63" i="29"/>
  <c r="Y63" i="29"/>
  <c r="AG63" i="29"/>
  <c r="I55" i="29"/>
  <c r="Q55" i="29"/>
  <c r="W55" i="29"/>
  <c r="AE55" i="29"/>
  <c r="K51" i="29"/>
  <c r="Y51" i="29"/>
  <c r="AE96" i="29"/>
  <c r="W84" i="29"/>
  <c r="Q72" i="29"/>
  <c r="H85" i="29"/>
  <c r="X47" i="29"/>
  <c r="R39" i="29"/>
  <c r="X11" i="29"/>
  <c r="B93" i="29"/>
  <c r="AD81" i="29"/>
  <c r="T55" i="29"/>
  <c r="B51" i="29"/>
  <c r="H47" i="29"/>
  <c r="B47" i="29"/>
  <c r="N47" i="29"/>
  <c r="P11" i="29"/>
  <c r="V27" i="29"/>
  <c r="B9" i="29"/>
  <c r="B14" i="32"/>
  <c r="B15" i="32" s="1"/>
  <c r="B66" i="29"/>
  <c r="AI66" i="29"/>
  <c r="AE66" i="29"/>
  <c r="AA66" i="29"/>
  <c r="W66" i="29"/>
  <c r="U66" i="29"/>
  <c r="Q66" i="29"/>
  <c r="M66" i="29"/>
  <c r="I66" i="29"/>
  <c r="AK66" i="29"/>
  <c r="AC66" i="29"/>
  <c r="O66" i="29"/>
  <c r="G66" i="29"/>
  <c r="AD66" i="29"/>
  <c r="P66" i="29"/>
  <c r="H66" i="29"/>
  <c r="AF66" i="29"/>
  <c r="X66" i="29"/>
  <c r="R66" i="29"/>
  <c r="J66" i="29"/>
  <c r="Y66" i="29"/>
  <c r="K66" i="29"/>
  <c r="Z66" i="29"/>
  <c r="L66" i="29"/>
  <c r="AB66" i="29"/>
  <c r="N66" i="29"/>
  <c r="B96" i="29"/>
  <c r="AK96" i="29"/>
  <c r="AG96" i="29"/>
  <c r="AC96" i="29"/>
  <c r="Y96" i="29"/>
  <c r="S96" i="29"/>
  <c r="O96" i="29"/>
  <c r="AD96" i="29"/>
  <c r="P96" i="29"/>
  <c r="K96" i="29"/>
  <c r="G96" i="29"/>
  <c r="X96" i="29"/>
  <c r="L96" i="29"/>
  <c r="AB96" i="29"/>
  <c r="F96" i="29"/>
  <c r="V96" i="29"/>
  <c r="AI96" i="29"/>
  <c r="AA96" i="29"/>
  <c r="U96" i="29"/>
  <c r="AH96" i="29"/>
  <c r="T96" i="29"/>
  <c r="I96" i="29"/>
  <c r="R96" i="29"/>
  <c r="N96" i="29"/>
  <c r="J96" i="29"/>
  <c r="B92" i="29"/>
  <c r="AK92" i="29"/>
  <c r="AG92" i="29"/>
  <c r="AC92" i="29"/>
  <c r="Y92" i="29"/>
  <c r="S92" i="29"/>
  <c r="O92" i="29"/>
  <c r="K92" i="29"/>
  <c r="G92" i="29"/>
  <c r="AD92" i="29"/>
  <c r="P92" i="29"/>
  <c r="H92" i="29"/>
  <c r="AB92" i="29"/>
  <c r="N92" i="29"/>
  <c r="AF92" i="29"/>
  <c r="R92" i="29"/>
  <c r="AE92" i="29"/>
  <c r="W92" i="29"/>
  <c r="Q92" i="29"/>
  <c r="I92" i="29"/>
  <c r="Z92" i="29"/>
  <c r="L92" i="29"/>
  <c r="V92" i="29"/>
  <c r="X92" i="29"/>
  <c r="B84" i="29"/>
  <c r="AK84" i="29"/>
  <c r="AG84" i="29"/>
  <c r="AC84" i="29"/>
  <c r="Y84" i="29"/>
  <c r="S84" i="29"/>
  <c r="O84" i="29"/>
  <c r="K84" i="29"/>
  <c r="G84" i="29"/>
  <c r="AD84" i="29"/>
  <c r="P84" i="29"/>
  <c r="H84" i="29"/>
  <c r="AB84" i="29"/>
  <c r="N84" i="29"/>
  <c r="AF84" i="29"/>
  <c r="R84" i="29"/>
  <c r="AI84" i="29"/>
  <c r="AA84" i="29"/>
  <c r="U84" i="29"/>
  <c r="M84" i="29"/>
  <c r="AH84" i="29"/>
  <c r="T84" i="29"/>
  <c r="AJ84" i="29"/>
  <c r="F84" i="29"/>
  <c r="J84" i="29"/>
  <c r="B76" i="29"/>
  <c r="AK76" i="29"/>
  <c r="AG76" i="29"/>
  <c r="AC76" i="29"/>
  <c r="Y76" i="29"/>
  <c r="S76" i="29"/>
  <c r="O76" i="29"/>
  <c r="K76" i="29"/>
  <c r="G76" i="29"/>
  <c r="AD76" i="29"/>
  <c r="P76" i="29"/>
  <c r="H76" i="29"/>
  <c r="AF76" i="29"/>
  <c r="X76" i="29"/>
  <c r="R76" i="29"/>
  <c r="J76" i="29"/>
  <c r="AE76" i="29"/>
  <c r="W76" i="29"/>
  <c r="Q76" i="29"/>
  <c r="I76" i="29"/>
  <c r="Z76" i="29"/>
  <c r="L76" i="29"/>
  <c r="AB76" i="29"/>
  <c r="N76" i="29"/>
  <c r="B72" i="29"/>
  <c r="AK72" i="29"/>
  <c r="AG72" i="29"/>
  <c r="AC72" i="29"/>
  <c r="Y72" i="29"/>
  <c r="S72" i="29"/>
  <c r="O72" i="29"/>
  <c r="K72" i="29"/>
  <c r="G72" i="29"/>
  <c r="AD72" i="29"/>
  <c r="P72" i="29"/>
  <c r="H72" i="29"/>
  <c r="AF72" i="29"/>
  <c r="X72" i="29"/>
  <c r="R72" i="29"/>
  <c r="J72" i="29"/>
  <c r="AI72" i="29"/>
  <c r="AA72" i="29"/>
  <c r="U72" i="29"/>
  <c r="M72" i="29"/>
  <c r="AH72" i="29"/>
  <c r="T72" i="29"/>
  <c r="AJ72" i="29"/>
  <c r="V72" i="29"/>
  <c r="F72" i="29"/>
  <c r="AK54" i="29"/>
  <c r="AC54" i="29"/>
  <c r="O54" i="29"/>
  <c r="G54" i="29"/>
  <c r="H54" i="29"/>
  <c r="X54" i="29"/>
  <c r="J54" i="29"/>
  <c r="AG54" i="29"/>
  <c r="S54" i="29"/>
  <c r="AD54" i="29"/>
  <c r="AF54" i="29"/>
  <c r="K54" i="29"/>
  <c r="R54" i="29"/>
  <c r="AG46" i="29"/>
  <c r="Y46" i="29"/>
  <c r="S46" i="29"/>
  <c r="K46" i="29"/>
  <c r="AH46" i="29"/>
  <c r="Z46" i="29"/>
  <c r="T46" i="29"/>
  <c r="L46" i="29"/>
  <c r="AC46" i="29"/>
  <c r="O46" i="29"/>
  <c r="AD46" i="29"/>
  <c r="P46" i="29"/>
  <c r="AK46" i="29"/>
  <c r="G46" i="29"/>
  <c r="H46" i="29"/>
  <c r="Z42" i="29"/>
  <c r="AG42" i="29"/>
  <c r="Y42" i="29"/>
  <c r="S42" i="29"/>
  <c r="K42" i="29"/>
  <c r="AD42" i="29"/>
  <c r="L42" i="29"/>
  <c r="AC42" i="29"/>
  <c r="O42" i="29"/>
  <c r="J42" i="29"/>
  <c r="R42" i="29"/>
  <c r="X42" i="29"/>
  <c r="AF42" i="29"/>
  <c r="AK42" i="29"/>
  <c r="G42" i="29"/>
  <c r="N42" i="29"/>
  <c r="AB42" i="29"/>
  <c r="AH38" i="29"/>
  <c r="P38" i="29"/>
  <c r="AE38" i="29"/>
  <c r="W38" i="29"/>
  <c r="Q38" i="29"/>
  <c r="I38" i="29"/>
  <c r="AD38" i="29"/>
  <c r="AA38" i="29"/>
  <c r="M38" i="29"/>
  <c r="F38" i="29"/>
  <c r="N38" i="29"/>
  <c r="V38" i="29"/>
  <c r="AB38" i="29"/>
  <c r="AJ38" i="29"/>
  <c r="AI38" i="29"/>
  <c r="R38" i="29"/>
  <c r="AF38" i="29"/>
  <c r="H14" i="29"/>
  <c r="AI14" i="29"/>
  <c r="AA14" i="29"/>
  <c r="U14" i="29"/>
  <c r="M14" i="29"/>
  <c r="B14" i="29"/>
  <c r="AE14" i="29"/>
  <c r="Q14" i="29"/>
  <c r="F14" i="29"/>
  <c r="N14" i="29"/>
  <c r="V14" i="29"/>
  <c r="AB14" i="29"/>
  <c r="AJ14" i="29"/>
  <c r="I14" i="29"/>
  <c r="J14" i="29"/>
  <c r="X14" i="29"/>
  <c r="H10" i="29"/>
  <c r="AE10" i="29"/>
  <c r="W10" i="29"/>
  <c r="Q10" i="29"/>
  <c r="I10" i="29"/>
  <c r="L10" i="29"/>
  <c r="AA10" i="29"/>
  <c r="M10" i="29"/>
  <c r="F10" i="29"/>
  <c r="N10" i="29"/>
  <c r="V10" i="29"/>
  <c r="AB10" i="29"/>
  <c r="AJ10" i="29"/>
  <c r="AI10" i="29"/>
  <c r="R10" i="29"/>
  <c r="AF10" i="29"/>
  <c r="AH95" i="29"/>
  <c r="AI95" i="29"/>
  <c r="AE95" i="29"/>
  <c r="AA95" i="29"/>
  <c r="W95" i="29"/>
  <c r="U95" i="29"/>
  <c r="Q95" i="29"/>
  <c r="M95" i="29"/>
  <c r="I95" i="29"/>
  <c r="AJ95" i="29"/>
  <c r="AB95" i="29"/>
  <c r="V95" i="29"/>
  <c r="N95" i="29"/>
  <c r="F95" i="29"/>
  <c r="H95" i="29"/>
  <c r="AH91" i="29"/>
  <c r="AI91" i="29"/>
  <c r="AE91" i="29"/>
  <c r="AA91" i="29"/>
  <c r="W91" i="29"/>
  <c r="U91" i="29"/>
  <c r="Q91" i="29"/>
  <c r="M91" i="29"/>
  <c r="I91" i="29"/>
  <c r="AJ91" i="29"/>
  <c r="AB91" i="29"/>
  <c r="V91" i="29"/>
  <c r="N91" i="29"/>
  <c r="F91" i="29"/>
  <c r="H91" i="29"/>
  <c r="T83" i="29"/>
  <c r="L83" i="29"/>
  <c r="B83" i="29"/>
  <c r="AI83" i="29"/>
  <c r="AE83" i="29"/>
  <c r="AA83" i="29"/>
  <c r="W83" i="29"/>
  <c r="U83" i="29"/>
  <c r="Q83" i="29"/>
  <c r="M83" i="29"/>
  <c r="I83" i="29"/>
  <c r="AJ83" i="29"/>
  <c r="AB83" i="29"/>
  <c r="V83" i="29"/>
  <c r="N83" i="29"/>
  <c r="F83" i="29"/>
  <c r="H83" i="29"/>
  <c r="Z79" i="29"/>
  <c r="L79" i="29"/>
  <c r="B79" i="29"/>
  <c r="AI79" i="29"/>
  <c r="AE79" i="29"/>
  <c r="AA79" i="29"/>
  <c r="W79" i="29"/>
  <c r="U79" i="29"/>
  <c r="Q79" i="29"/>
  <c r="M79" i="29"/>
  <c r="I79" i="29"/>
  <c r="F79" i="29"/>
  <c r="N79" i="29"/>
  <c r="V79" i="29"/>
  <c r="AB79" i="29"/>
  <c r="AJ79" i="29"/>
  <c r="T75" i="29"/>
  <c r="AH75" i="29"/>
  <c r="AK75" i="29"/>
  <c r="AG75" i="29"/>
  <c r="AC75" i="29"/>
  <c r="Y75" i="29"/>
  <c r="S75" i="29"/>
  <c r="O75" i="29"/>
  <c r="K75" i="29"/>
  <c r="G75" i="29"/>
  <c r="J75" i="29"/>
  <c r="R75" i="29"/>
  <c r="X75" i="29"/>
  <c r="AF75" i="29"/>
  <c r="AH71" i="29"/>
  <c r="T71" i="29"/>
  <c r="AK71" i="29"/>
  <c r="AG71" i="29"/>
  <c r="AC71" i="29"/>
  <c r="Y71" i="29"/>
  <c r="S71" i="29"/>
  <c r="O71" i="29"/>
  <c r="K71" i="29"/>
  <c r="G71" i="29"/>
  <c r="J71" i="29"/>
  <c r="R71" i="29"/>
  <c r="X71" i="29"/>
  <c r="AF71" i="29"/>
  <c r="AD61" i="29"/>
  <c r="Z61" i="29"/>
  <c r="B61" i="29"/>
  <c r="L61" i="29"/>
  <c r="AI61" i="29"/>
  <c r="AE61" i="29"/>
  <c r="AA61" i="29"/>
  <c r="W61" i="29"/>
  <c r="U61" i="29"/>
  <c r="Q61" i="29"/>
  <c r="M61" i="29"/>
  <c r="I61" i="29"/>
  <c r="F61" i="29"/>
  <c r="N61" i="29"/>
  <c r="V61" i="29"/>
  <c r="AB61" i="29"/>
  <c r="AJ61" i="29"/>
  <c r="Z53" i="29"/>
  <c r="L53" i="29"/>
  <c r="AK53" i="29"/>
  <c r="AG53" i="29"/>
  <c r="AC53" i="29"/>
  <c r="Y53" i="29"/>
  <c r="S53" i="29"/>
  <c r="O53" i="29"/>
  <c r="B53" i="29"/>
  <c r="AI53" i="29"/>
  <c r="AA53" i="29"/>
  <c r="U53" i="29"/>
  <c r="M53" i="29"/>
  <c r="I53" i="29"/>
  <c r="F53" i="29"/>
  <c r="N53" i="29"/>
  <c r="V53" i="29"/>
  <c r="AB53" i="29"/>
  <c r="AJ53" i="29"/>
  <c r="AK49" i="29"/>
  <c r="AB49" i="29"/>
  <c r="N49" i="29"/>
  <c r="P49" i="29"/>
  <c r="AH49" i="29"/>
  <c r="V49" i="29"/>
  <c r="F49" i="29"/>
  <c r="I49" i="29"/>
  <c r="M49" i="29"/>
  <c r="Q49" i="29"/>
  <c r="U49" i="29"/>
  <c r="W49" i="29"/>
  <c r="AA49" i="29"/>
  <c r="AE49" i="29"/>
  <c r="AI49" i="29"/>
  <c r="AJ45" i="29"/>
  <c r="V45" i="29"/>
  <c r="T45" i="29"/>
  <c r="AK45" i="29"/>
  <c r="N45" i="29"/>
  <c r="AH45" i="29"/>
  <c r="AB45" i="29"/>
  <c r="F45" i="29"/>
  <c r="I45" i="29"/>
  <c r="M45" i="29"/>
  <c r="Q45" i="29"/>
  <c r="U45" i="29"/>
  <c r="W45" i="29"/>
  <c r="AA45" i="29"/>
  <c r="AE45" i="29"/>
  <c r="AI45" i="29"/>
  <c r="R37" i="29"/>
  <c r="X37" i="29"/>
  <c r="V37" i="29"/>
  <c r="AK37" i="29"/>
  <c r="L37" i="29"/>
  <c r="Z37" i="29"/>
  <c r="F37" i="29"/>
  <c r="T37" i="29"/>
  <c r="AH37" i="29"/>
  <c r="I37" i="29"/>
  <c r="M37" i="29"/>
  <c r="Q37" i="29"/>
  <c r="U37" i="29"/>
  <c r="W37" i="29"/>
  <c r="AA37" i="29"/>
  <c r="AE37" i="29"/>
  <c r="AI37" i="29"/>
  <c r="P33" i="29"/>
  <c r="N33" i="29"/>
  <c r="AB33" i="29"/>
  <c r="T33" i="29"/>
  <c r="V33" i="29"/>
  <c r="Z33" i="29"/>
  <c r="F33" i="29"/>
  <c r="I33" i="29"/>
  <c r="M33" i="29"/>
  <c r="Q33" i="29"/>
  <c r="U33" i="29"/>
  <c r="W33" i="29"/>
  <c r="AA33" i="29"/>
  <c r="AE33" i="29"/>
  <c r="AI33" i="29"/>
  <c r="AD25" i="29"/>
  <c r="T25" i="29"/>
  <c r="AK25" i="29"/>
  <c r="R25" i="29"/>
  <c r="AF25" i="29"/>
  <c r="X25" i="29"/>
  <c r="I25" i="29"/>
  <c r="M25" i="29"/>
  <c r="Q25" i="29"/>
  <c r="U25" i="29"/>
  <c r="W25" i="29"/>
  <c r="AA25" i="29"/>
  <c r="AE25" i="29"/>
  <c r="AI25" i="29"/>
  <c r="AJ13" i="29"/>
  <c r="X13" i="29"/>
  <c r="N13" i="29"/>
  <c r="T13" i="29"/>
  <c r="AH13" i="29"/>
  <c r="AF13" i="29"/>
  <c r="AB13" i="29"/>
  <c r="AK13" i="29"/>
  <c r="Z13" i="29"/>
  <c r="L13" i="29"/>
  <c r="I13" i="29"/>
  <c r="M13" i="29"/>
  <c r="Q13" i="29"/>
  <c r="U13" i="29"/>
  <c r="W13" i="29"/>
  <c r="AA13" i="29"/>
  <c r="AE13" i="29"/>
  <c r="AI13" i="29"/>
  <c r="AH22" i="29"/>
  <c r="R26" i="29"/>
  <c r="T29" i="29"/>
  <c r="S34" i="29"/>
  <c r="AD34" i="29"/>
  <c r="U41" i="29"/>
  <c r="AE41" i="29"/>
  <c r="S50" i="29"/>
  <c r="AD50" i="29"/>
  <c r="Q57" i="29"/>
  <c r="AC57" i="29"/>
  <c r="I58" i="29"/>
  <c r="O58" i="29"/>
  <c r="AA58" i="29"/>
  <c r="AG58" i="29"/>
  <c r="AK58" i="29"/>
  <c r="I62" i="29"/>
  <c r="O62" i="29"/>
  <c r="AA62" i="29"/>
  <c r="AG62" i="29"/>
  <c r="AK62" i="29"/>
  <c r="Q67" i="29"/>
  <c r="AC67" i="29"/>
  <c r="I68" i="29"/>
  <c r="O68" i="29"/>
  <c r="AA68" i="29"/>
  <c r="AG68" i="29"/>
  <c r="AK68" i="29"/>
  <c r="I80" i="29"/>
  <c r="O80" i="29"/>
  <c r="AA80" i="29"/>
  <c r="AG80" i="29"/>
  <c r="AK80" i="29"/>
  <c r="Q87" i="29"/>
  <c r="AC87" i="29"/>
  <c r="I88" i="29"/>
  <c r="O88" i="29"/>
  <c r="AA88" i="29"/>
  <c r="AG88" i="29"/>
  <c r="AK88" i="29"/>
  <c r="AB18" i="29"/>
  <c r="L21" i="29"/>
  <c r="R22" i="29"/>
  <c r="X29" i="29"/>
  <c r="I34" i="29"/>
  <c r="AG34" i="29"/>
  <c r="I50" i="29"/>
  <c r="AG50" i="29"/>
  <c r="I57" i="29"/>
  <c r="O57" i="29"/>
  <c r="AA57" i="29"/>
  <c r="AG57" i="29"/>
  <c r="AK57" i="29"/>
  <c r="Q58" i="29"/>
  <c r="AC58" i="29"/>
  <c r="Q62" i="29"/>
  <c r="AC62" i="29"/>
  <c r="I67" i="29"/>
  <c r="O67" i="29"/>
  <c r="AA67" i="29"/>
  <c r="AG67" i="29"/>
  <c r="AK67" i="29"/>
  <c r="Q68" i="29"/>
  <c r="AC68" i="29"/>
  <c r="Q80" i="29"/>
  <c r="AC80" i="29"/>
  <c r="I87" i="29"/>
  <c r="O87" i="29"/>
  <c r="AA87" i="29"/>
  <c r="AG87" i="29"/>
  <c r="AK87" i="29"/>
  <c r="Q88" i="29"/>
  <c r="AC88" i="29"/>
  <c r="AH88" i="29"/>
  <c r="AB88" i="29"/>
  <c r="X88" i="29"/>
  <c r="R88" i="29"/>
  <c r="N88" i="29"/>
  <c r="J88" i="29"/>
  <c r="AH87" i="29"/>
  <c r="AB87" i="29"/>
  <c r="X87" i="29"/>
  <c r="R87" i="29"/>
  <c r="N87" i="29"/>
  <c r="J87" i="29"/>
  <c r="AH80" i="29"/>
  <c r="AB80" i="29"/>
  <c r="X80" i="29"/>
  <c r="R80" i="29"/>
  <c r="N80" i="29"/>
  <c r="J80" i="29"/>
  <c r="AH68" i="29"/>
  <c r="AB68" i="29"/>
  <c r="X68" i="29"/>
  <c r="R68" i="29"/>
  <c r="N68" i="29"/>
  <c r="J68" i="29"/>
  <c r="AH67" i="29"/>
  <c r="AB67" i="29"/>
  <c r="X67" i="29"/>
  <c r="R67" i="29"/>
  <c r="N67" i="29"/>
  <c r="AH62" i="29"/>
  <c r="AB62" i="29"/>
  <c r="X62" i="29"/>
  <c r="R62" i="29"/>
  <c r="N62" i="29"/>
  <c r="J62" i="29"/>
  <c r="AH58" i="29"/>
  <c r="AB58" i="29"/>
  <c r="X58" i="29"/>
  <c r="R58" i="29"/>
  <c r="N58" i="29"/>
  <c r="J58" i="29"/>
  <c r="AH57" i="29"/>
  <c r="AB57" i="29"/>
  <c r="X57" i="29"/>
  <c r="R57" i="29"/>
  <c r="N57" i="29"/>
  <c r="AC50" i="29"/>
  <c r="Q50" i="29"/>
  <c r="AH50" i="29"/>
  <c r="AB50" i="29"/>
  <c r="X50" i="29"/>
  <c r="R50" i="29"/>
  <c r="N50" i="29"/>
  <c r="J50" i="29"/>
  <c r="AK41" i="29"/>
  <c r="AG41" i="29"/>
  <c r="AA41" i="29"/>
  <c r="O41" i="29"/>
  <c r="I41" i="29"/>
  <c r="AF41" i="29"/>
  <c r="Z41" i="29"/>
  <c r="T41" i="29"/>
  <c r="P41" i="29"/>
  <c r="L41" i="29"/>
  <c r="F41" i="29"/>
  <c r="AC34" i="29"/>
  <c r="Q34" i="29"/>
  <c r="AH34" i="29"/>
  <c r="AB34" i="29"/>
  <c r="X34" i="29"/>
  <c r="R34" i="29"/>
  <c r="N34" i="29"/>
  <c r="Z30" i="29"/>
  <c r="F30" i="29"/>
  <c r="X30" i="29"/>
  <c r="P30" i="29"/>
  <c r="AI30" i="29"/>
  <c r="AE30" i="29"/>
  <c r="AC30" i="29"/>
  <c r="Y30" i="29"/>
  <c r="U30" i="29"/>
  <c r="Q30" i="29"/>
  <c r="M30" i="29"/>
  <c r="I30" i="29"/>
  <c r="P29" i="29"/>
  <c r="AH29" i="29"/>
  <c r="Z29" i="29"/>
  <c r="N29" i="29"/>
  <c r="AK29" i="29"/>
  <c r="AG29" i="29"/>
  <c r="AD29" i="29"/>
  <c r="AA29" i="29"/>
  <c r="W29" i="29"/>
  <c r="S29" i="29"/>
  <c r="O29" i="29"/>
  <c r="K29" i="29"/>
  <c r="Z26" i="29"/>
  <c r="F26" i="29"/>
  <c r="X26" i="29"/>
  <c r="P26" i="29"/>
  <c r="AI26" i="29"/>
  <c r="AE26" i="29"/>
  <c r="AC26" i="29"/>
  <c r="Y26" i="29"/>
  <c r="U26" i="29"/>
  <c r="Q26" i="29"/>
  <c r="M26" i="29"/>
  <c r="I26" i="29"/>
  <c r="AF22" i="29"/>
  <c r="N22" i="29"/>
  <c r="AB22" i="29"/>
  <c r="T22" i="29"/>
  <c r="L22" i="29"/>
  <c r="AK22" i="29"/>
  <c r="AG22" i="29"/>
  <c r="AD22" i="29"/>
  <c r="AA22" i="29"/>
  <c r="W22" i="29"/>
  <c r="S22" i="29"/>
  <c r="O22" i="29"/>
  <c r="K22" i="29"/>
  <c r="AB21" i="29"/>
  <c r="AF21" i="29"/>
  <c r="R21" i="29"/>
  <c r="F21" i="29"/>
  <c r="AI21" i="29"/>
  <c r="AE21" i="29"/>
  <c r="AC21" i="29"/>
  <c r="Y21" i="29"/>
  <c r="U21" i="29"/>
  <c r="Q21" i="29"/>
  <c r="M21" i="29"/>
  <c r="I21" i="29"/>
  <c r="T18" i="29"/>
  <c r="AH18" i="29"/>
  <c r="Z18" i="29"/>
  <c r="N18" i="29"/>
  <c r="AK18" i="29"/>
  <c r="AG18" i="29"/>
  <c r="AD18" i="29"/>
  <c r="AA18" i="29"/>
  <c r="W18" i="29"/>
  <c r="S18" i="29"/>
  <c r="O18" i="29"/>
  <c r="K18" i="29"/>
  <c r="R17" i="29"/>
  <c r="Z17" i="29"/>
  <c r="F17" i="29"/>
  <c r="X17" i="29"/>
  <c r="P17" i="29"/>
  <c r="AI17" i="29"/>
  <c r="AE17" i="29"/>
  <c r="AC17" i="29"/>
  <c r="Y17" i="29"/>
  <c r="U17" i="29"/>
  <c r="Q17" i="29"/>
  <c r="M17" i="29"/>
  <c r="I17" i="29"/>
  <c r="Y9" i="29"/>
  <c r="AC9" i="29"/>
  <c r="Q9" i="29"/>
  <c r="AI9" i="29"/>
  <c r="AD9" i="29"/>
  <c r="W9" i="29"/>
  <c r="S9" i="29"/>
  <c r="K9" i="29"/>
  <c r="AH9" i="29"/>
  <c r="AB9" i="29"/>
  <c r="X9" i="29"/>
  <c r="R9" i="29"/>
  <c r="N9" i="29"/>
  <c r="AD95" i="29"/>
  <c r="AD91" i="29"/>
  <c r="AD83" i="29"/>
  <c r="X79" i="29"/>
  <c r="J79" i="29"/>
  <c r="AB75" i="29"/>
  <c r="N75" i="29"/>
  <c r="AB71" i="29"/>
  <c r="N71" i="29"/>
  <c r="AF61" i="29"/>
  <c r="R61" i="29"/>
  <c r="X53" i="29"/>
  <c r="J53" i="29"/>
  <c r="AG49" i="29"/>
  <c r="Y49" i="29"/>
  <c r="S49" i="29"/>
  <c r="K49" i="29"/>
  <c r="AG45" i="29"/>
  <c r="Y45" i="29"/>
  <c r="S45" i="29"/>
  <c r="K45" i="29"/>
  <c r="AG37" i="29"/>
  <c r="Y37" i="29"/>
  <c r="S37" i="29"/>
  <c r="K37" i="29"/>
  <c r="AG33" i="29"/>
  <c r="Y33" i="29"/>
  <c r="S33" i="29"/>
  <c r="K33" i="29"/>
  <c r="AG25" i="29"/>
  <c r="Y25" i="29"/>
  <c r="S25" i="29"/>
  <c r="K25" i="29"/>
  <c r="AG13" i="29"/>
  <c r="Y13" i="29"/>
  <c r="S13" i="29"/>
  <c r="K13" i="29"/>
  <c r="J95" i="29"/>
  <c r="X95" i="29"/>
  <c r="G95" i="29"/>
  <c r="O95" i="29"/>
  <c r="AC95" i="29"/>
  <c r="AK95" i="29"/>
  <c r="R91" i="29"/>
  <c r="AF91" i="29"/>
  <c r="K91" i="29"/>
  <c r="S91" i="29"/>
  <c r="Y91" i="29"/>
  <c r="AG91" i="29"/>
  <c r="J83" i="29"/>
  <c r="X83" i="29"/>
  <c r="G83" i="29"/>
  <c r="O83" i="29"/>
  <c r="AC83" i="29"/>
  <c r="AK83" i="29"/>
  <c r="G79" i="29"/>
  <c r="O79" i="29"/>
  <c r="AC79" i="29"/>
  <c r="AK79" i="29"/>
  <c r="M75" i="29"/>
  <c r="U75" i="29"/>
  <c r="AA75" i="29"/>
  <c r="AI75" i="29"/>
  <c r="I71" i="29"/>
  <c r="Q71" i="29"/>
  <c r="W71" i="29"/>
  <c r="AE71" i="29"/>
  <c r="G61" i="29"/>
  <c r="O61" i="29"/>
  <c r="AC61" i="29"/>
  <c r="AK61" i="29"/>
  <c r="G53" i="29"/>
  <c r="Q53" i="29"/>
  <c r="AE53" i="29"/>
  <c r="V42" i="29"/>
  <c r="X38" i="29"/>
  <c r="R14" i="29"/>
  <c r="X10" i="29"/>
  <c r="AJ96" i="29"/>
  <c r="AF96" i="29"/>
  <c r="Z96" i="29"/>
  <c r="W96" i="29"/>
  <c r="J92" i="29"/>
  <c r="AJ92" i="29"/>
  <c r="AH92" i="29"/>
  <c r="U92" i="29"/>
  <c r="AI92" i="29"/>
  <c r="V84" i="29"/>
  <c r="Z84" i="29"/>
  <c r="Q84" i="29"/>
  <c r="AE84" i="29"/>
  <c r="V76" i="29"/>
  <c r="T76" i="29"/>
  <c r="M76" i="29"/>
  <c r="AA76" i="29"/>
  <c r="N72" i="29"/>
  <c r="L72" i="29"/>
  <c r="I72" i="29"/>
  <c r="W72" i="29"/>
  <c r="F66" i="29"/>
  <c r="AJ66" i="29"/>
  <c r="AH66" i="29"/>
  <c r="AG66" i="29"/>
  <c r="Y54" i="29"/>
  <c r="J25" i="29"/>
  <c r="AK33" i="29"/>
  <c r="L14" i="29"/>
  <c r="B10" i="29"/>
  <c r="L30" i="29"/>
  <c r="AK30" i="29"/>
  <c r="AG30" i="29"/>
  <c r="AD30" i="29"/>
  <c r="AA30" i="29"/>
  <c r="W30" i="29"/>
  <c r="S30" i="29"/>
  <c r="O30" i="29"/>
  <c r="K30" i="29"/>
  <c r="AB29" i="29"/>
  <c r="AF29" i="29"/>
  <c r="R29" i="29"/>
  <c r="F29" i="29"/>
  <c r="AI29" i="29"/>
  <c r="AE29" i="29"/>
  <c r="AC29" i="29"/>
  <c r="Y29" i="29"/>
  <c r="U29" i="29"/>
  <c r="Q29" i="29"/>
  <c r="M29" i="29"/>
  <c r="I29" i="29"/>
  <c r="AF26" i="29"/>
  <c r="N26" i="29"/>
  <c r="AB26" i="29"/>
  <c r="T26" i="29"/>
  <c r="L26" i="29"/>
  <c r="AK26" i="29"/>
  <c r="AG26" i="29"/>
  <c r="AD26" i="29"/>
  <c r="AA26" i="29"/>
  <c r="W26" i="29"/>
  <c r="S26" i="29"/>
  <c r="O26" i="29"/>
  <c r="K26" i="29"/>
  <c r="Z22" i="29"/>
  <c r="F22" i="29"/>
  <c r="X22" i="29"/>
  <c r="P22" i="29"/>
  <c r="AI22" i="29"/>
  <c r="AE22" i="29"/>
  <c r="AC22" i="29"/>
  <c r="Y22" i="29"/>
  <c r="U22" i="29"/>
  <c r="Q22" i="29"/>
  <c r="M22" i="29"/>
  <c r="I22" i="29"/>
  <c r="P21" i="29"/>
  <c r="AH21" i="29"/>
  <c r="Z21" i="29"/>
  <c r="N21" i="29"/>
  <c r="AK21" i="29"/>
  <c r="AG21" i="29"/>
  <c r="AD21" i="29"/>
  <c r="AA21" i="29"/>
  <c r="W21" i="29"/>
  <c r="S21" i="29"/>
  <c r="O21" i="29"/>
  <c r="K21" i="29"/>
  <c r="X18" i="29"/>
  <c r="L18" i="29"/>
  <c r="AF18" i="29"/>
  <c r="R18" i="29"/>
  <c r="F18" i="29"/>
  <c r="AI18" i="29"/>
  <c r="AE18" i="29"/>
  <c r="AC18" i="29"/>
  <c r="Y18" i="29"/>
  <c r="U18" i="29"/>
  <c r="Q18" i="29"/>
  <c r="M18" i="29"/>
  <c r="I18" i="29"/>
  <c r="AF17" i="29"/>
  <c r="N17" i="29"/>
  <c r="AB17" i="29"/>
  <c r="T17" i="29"/>
  <c r="L17" i="29"/>
  <c r="AK17" i="29"/>
  <c r="AG17" i="29"/>
  <c r="AD17" i="29"/>
  <c r="AA17" i="29"/>
  <c r="W17" i="29"/>
  <c r="S17" i="29"/>
  <c r="O17" i="29"/>
  <c r="K17" i="29"/>
  <c r="U9" i="29"/>
  <c r="M9" i="29"/>
  <c r="AK9" i="29"/>
  <c r="AG9" i="29"/>
  <c r="AA9" i="29"/>
  <c r="O9" i="29"/>
  <c r="I9" i="29"/>
  <c r="AF9" i="29"/>
  <c r="Z9" i="29"/>
  <c r="T9" i="29"/>
  <c r="P9" i="29"/>
  <c r="L9" i="29"/>
  <c r="F9" i="29"/>
  <c r="C45" i="12"/>
  <c r="J8" i="26"/>
  <c r="J8" i="29" s="1"/>
  <c r="H107" i="26"/>
  <c r="K8" i="29"/>
  <c r="K107" i="26"/>
  <c r="B54" i="29"/>
  <c r="AI54" i="29"/>
  <c r="AE54" i="29"/>
  <c r="AA54" i="29"/>
  <c r="W54" i="29"/>
  <c r="U54" i="29"/>
  <c r="Q54" i="29"/>
  <c r="M54" i="29"/>
  <c r="I54" i="29"/>
  <c r="AH54" i="29"/>
  <c r="Z54" i="29"/>
  <c r="T54" i="29"/>
  <c r="L54" i="29"/>
  <c r="AJ54" i="29"/>
  <c r="AB54" i="29"/>
  <c r="V54" i="29"/>
  <c r="N54" i="29"/>
  <c r="F54" i="29"/>
  <c r="B46" i="29"/>
  <c r="AI46" i="29"/>
  <c r="AE46" i="29"/>
  <c r="AA46" i="29"/>
  <c r="W46" i="29"/>
  <c r="U46" i="29"/>
  <c r="Q46" i="29"/>
  <c r="M46" i="29"/>
  <c r="I46" i="29"/>
  <c r="AJ46" i="29"/>
  <c r="AF46" i="29"/>
  <c r="AB46" i="29"/>
  <c r="X46" i="29"/>
  <c r="V46" i="29"/>
  <c r="R46" i="29"/>
  <c r="N46" i="29"/>
  <c r="J46" i="29"/>
  <c r="F46" i="29"/>
  <c r="B42" i="29"/>
  <c r="H42" i="29"/>
  <c r="T42" i="29"/>
  <c r="AH42" i="29"/>
  <c r="AI42" i="29"/>
  <c r="AE42" i="29"/>
  <c r="AA42" i="29"/>
  <c r="W42" i="29"/>
  <c r="U42" i="29"/>
  <c r="Q42" i="29"/>
  <c r="M42" i="29"/>
  <c r="I42" i="29"/>
  <c r="B38" i="29"/>
  <c r="L38" i="29"/>
  <c r="Z38" i="29"/>
  <c r="H38" i="29"/>
  <c r="AK38" i="29"/>
  <c r="AG38" i="29"/>
  <c r="AC38" i="29"/>
  <c r="Y38" i="29"/>
  <c r="S38" i="29"/>
  <c r="O38" i="29"/>
  <c r="K38" i="29"/>
  <c r="G38" i="29"/>
  <c r="AD14" i="29"/>
  <c r="P14" i="29"/>
  <c r="AH14" i="29"/>
  <c r="T14" i="29"/>
  <c r="AK14" i="29"/>
  <c r="AG14" i="29"/>
  <c r="AC14" i="29"/>
  <c r="Y14" i="29"/>
  <c r="S14" i="29"/>
  <c r="O14" i="29"/>
  <c r="K14" i="29"/>
  <c r="G14" i="29"/>
  <c r="AD10" i="29"/>
  <c r="P10" i="29"/>
  <c r="AH10" i="29"/>
  <c r="T10" i="29"/>
  <c r="AK10" i="29"/>
  <c r="AG10" i="29"/>
  <c r="AC10" i="29"/>
  <c r="Y10" i="29"/>
  <c r="S10" i="29"/>
  <c r="O10" i="29"/>
  <c r="K10" i="29"/>
  <c r="G10" i="29"/>
  <c r="C86" i="12"/>
  <c r="C87" i="12" s="1"/>
  <c r="C88" i="12" s="1"/>
  <c r="C52" i="12"/>
  <c r="C9" i="26"/>
  <c r="C9" i="29" s="1"/>
  <c r="C8" i="29"/>
  <c r="Z95" i="29"/>
  <c r="B95" i="29"/>
  <c r="T95" i="29"/>
  <c r="L95" i="29"/>
  <c r="Z91" i="29"/>
  <c r="B91" i="29"/>
  <c r="T91" i="29"/>
  <c r="L91" i="29"/>
  <c r="Z83" i="29"/>
  <c r="AH83" i="29"/>
  <c r="P79" i="29"/>
  <c r="AD79" i="29"/>
  <c r="AH79" i="29"/>
  <c r="T79" i="29"/>
  <c r="H79" i="29"/>
  <c r="P75" i="29"/>
  <c r="AD75" i="29"/>
  <c r="B75" i="29"/>
  <c r="Z75" i="29"/>
  <c r="L75" i="29"/>
  <c r="H75" i="29"/>
  <c r="P71" i="29"/>
  <c r="B71" i="29"/>
  <c r="Z71" i="29"/>
  <c r="L71" i="29"/>
  <c r="H71" i="29"/>
  <c r="P61" i="29"/>
  <c r="AH61" i="29"/>
  <c r="T61" i="29"/>
  <c r="H61" i="29"/>
  <c r="P53" i="29"/>
  <c r="AD53" i="29"/>
  <c r="AH53" i="29"/>
  <c r="T53" i="29"/>
  <c r="H53" i="29"/>
  <c r="Z49" i="29"/>
  <c r="L49" i="29"/>
  <c r="B49" i="29"/>
  <c r="AF49" i="29"/>
  <c r="X49" i="29"/>
  <c r="R49" i="29"/>
  <c r="J49" i="29"/>
  <c r="H49" i="29"/>
  <c r="AD45" i="29"/>
  <c r="H45" i="29"/>
  <c r="P45" i="29"/>
  <c r="B45" i="29"/>
  <c r="AF45" i="29"/>
  <c r="X45" i="29"/>
  <c r="R45" i="29"/>
  <c r="J45" i="29"/>
  <c r="L45" i="29"/>
  <c r="Z45" i="29"/>
  <c r="AJ37" i="29"/>
  <c r="AF37" i="29"/>
  <c r="J37" i="29"/>
  <c r="N37" i="29"/>
  <c r="AB37" i="29"/>
  <c r="B37" i="29"/>
  <c r="H37" i="29"/>
  <c r="P37" i="29"/>
  <c r="AD37" i="29"/>
  <c r="AD33" i="29"/>
  <c r="AH33" i="29"/>
  <c r="L33" i="29"/>
  <c r="H33" i="29"/>
  <c r="B33" i="29"/>
  <c r="J33" i="29"/>
  <c r="R33" i="29"/>
  <c r="X33" i="29"/>
  <c r="AF33" i="29"/>
  <c r="AH25" i="29"/>
  <c r="H25" i="29"/>
  <c r="P25" i="29"/>
  <c r="L25" i="29"/>
  <c r="Z25" i="29"/>
  <c r="B25" i="29"/>
  <c r="F25" i="29"/>
  <c r="N25" i="29"/>
  <c r="V25" i="29"/>
  <c r="AB25" i="29"/>
  <c r="AJ25" i="29"/>
  <c r="Y8" i="29"/>
  <c r="Y107" i="26"/>
  <c r="AI8" i="29"/>
  <c r="AI107" i="26"/>
  <c r="I8" i="26"/>
  <c r="I8" i="29" s="1"/>
  <c r="G107" i="26"/>
  <c r="X8" i="29"/>
  <c r="X107" i="26"/>
  <c r="P42" i="29"/>
  <c r="T38" i="29"/>
  <c r="Z14" i="29"/>
  <c r="Z10" i="29"/>
  <c r="AD13" i="29"/>
  <c r="P13" i="29"/>
  <c r="H13" i="29"/>
  <c r="B13" i="29"/>
  <c r="V13" i="29"/>
  <c r="F13" i="29"/>
  <c r="R13" i="29"/>
  <c r="J13" i="29"/>
  <c r="F8" i="29"/>
  <c r="F107" i="26"/>
  <c r="G40" i="29"/>
  <c r="G28" i="29"/>
  <c r="G20" i="29"/>
  <c r="G8" i="29"/>
  <c r="G32" i="29"/>
  <c r="G24" i="29"/>
  <c r="J23" i="26"/>
  <c r="J23" i="29" s="1"/>
  <c r="H23" i="29"/>
  <c r="J31" i="26"/>
  <c r="J31" i="29" s="1"/>
  <c r="H31" i="29"/>
  <c r="J77" i="26"/>
  <c r="J77" i="29" s="1"/>
  <c r="H77" i="29"/>
  <c r="J69" i="26"/>
  <c r="J69" i="29" s="1"/>
  <c r="H69" i="29"/>
  <c r="J67" i="26"/>
  <c r="J67" i="29" s="1"/>
  <c r="H67" i="29"/>
  <c r="J59" i="26"/>
  <c r="J59" i="29" s="1"/>
  <c r="H59" i="29"/>
  <c r="J57" i="26"/>
  <c r="J57" i="29" s="1"/>
  <c r="H57" i="29"/>
  <c r="J40" i="26"/>
  <c r="J40" i="29" s="1"/>
  <c r="H40" i="29"/>
  <c r="J34" i="26"/>
  <c r="J34" i="29" s="1"/>
  <c r="H34" i="29"/>
  <c r="J32" i="26"/>
  <c r="J32" i="29" s="1"/>
  <c r="H32" i="29"/>
  <c r="J30" i="26"/>
  <c r="J30" i="29" s="1"/>
  <c r="H30" i="29"/>
  <c r="J26" i="26"/>
  <c r="J26" i="29" s="1"/>
  <c r="H26" i="29"/>
  <c r="J22" i="26"/>
  <c r="J22" i="29" s="1"/>
  <c r="H22" i="29"/>
  <c r="J15" i="26"/>
  <c r="J15" i="29" s="1"/>
  <c r="H15" i="29"/>
  <c r="J9" i="26"/>
  <c r="J9" i="29" s="1"/>
  <c r="H9" i="29"/>
  <c r="C16" i="29"/>
  <c r="G77" i="29"/>
  <c r="G69" i="29"/>
  <c r="G57" i="29"/>
  <c r="G16" i="29"/>
  <c r="H8" i="29"/>
  <c r="J43" i="26"/>
  <c r="J43" i="29" s="1"/>
  <c r="H43" i="29"/>
  <c r="J41" i="26"/>
  <c r="J41" i="29" s="1"/>
  <c r="H41" i="29"/>
  <c r="J35" i="26"/>
  <c r="J35" i="29" s="1"/>
  <c r="H35" i="29"/>
  <c r="J29" i="26"/>
  <c r="J29" i="29" s="1"/>
  <c r="H29" i="29"/>
  <c r="J28" i="26"/>
  <c r="J28" i="29" s="1"/>
  <c r="H28" i="29"/>
  <c r="J24" i="26"/>
  <c r="J24" i="29" s="1"/>
  <c r="H24" i="29"/>
  <c r="J21" i="26"/>
  <c r="J21" i="29" s="1"/>
  <c r="H21" i="29"/>
  <c r="J20" i="26"/>
  <c r="J20" i="29" s="1"/>
  <c r="H20" i="29"/>
  <c r="J19" i="26"/>
  <c r="J19" i="29" s="1"/>
  <c r="H19" i="29"/>
  <c r="J18" i="26"/>
  <c r="J18" i="29" s="1"/>
  <c r="H18" i="29"/>
  <c r="J17" i="26"/>
  <c r="J17" i="29" s="1"/>
  <c r="H17" i="29"/>
  <c r="J16" i="26"/>
  <c r="J16" i="29" s="1"/>
  <c r="H16" i="29"/>
  <c r="C17" i="26"/>
  <c r="C17" i="29" s="1"/>
  <c r="H87" i="29"/>
  <c r="G43" i="29"/>
  <c r="G41" i="29"/>
  <c r="G35" i="29"/>
  <c r="G31" i="29"/>
  <c r="G29" i="29"/>
  <c r="G23" i="29"/>
  <c r="G21" i="29"/>
  <c r="G19" i="29"/>
  <c r="G17" i="29"/>
  <c r="G15" i="29"/>
  <c r="G9" i="29"/>
  <c r="G87" i="29"/>
  <c r="G67" i="29"/>
  <c r="G59" i="29"/>
  <c r="C69" i="26"/>
  <c r="H88" i="29"/>
  <c r="G88" i="29"/>
  <c r="H86" i="29"/>
  <c r="G86" i="29"/>
  <c r="H80" i="29"/>
  <c r="G80" i="29"/>
  <c r="H78" i="29"/>
  <c r="G78" i="29"/>
  <c r="H74" i="29"/>
  <c r="G74" i="29"/>
  <c r="H70" i="29"/>
  <c r="G70" i="29"/>
  <c r="H68" i="29"/>
  <c r="G68" i="29"/>
  <c r="H64" i="29"/>
  <c r="G64" i="29"/>
  <c r="H62" i="29"/>
  <c r="G62" i="29"/>
  <c r="H58" i="29"/>
  <c r="G58" i="29"/>
  <c r="H52" i="29"/>
  <c r="G52" i="29"/>
  <c r="H50" i="29"/>
  <c r="G50" i="29"/>
  <c r="G34" i="29"/>
  <c r="G30" i="29"/>
  <c r="G26" i="29"/>
  <c r="G22" i="29"/>
  <c r="G18" i="29"/>
  <c r="C22" i="26" l="1"/>
  <c r="B15" i="26"/>
  <c r="C39" i="12"/>
  <c r="C40" i="12" s="1"/>
  <c r="C29" i="32"/>
  <c r="C30" i="32" s="1"/>
  <c r="C31" i="32" s="1"/>
  <c r="A28" i="9"/>
  <c r="A29" i="9" s="1"/>
  <c r="A30" i="9" s="1"/>
  <c r="A31" i="9" s="1"/>
  <c r="A32" i="9" s="1"/>
  <c r="A33" i="9" s="1"/>
  <c r="A34" i="9" s="1"/>
  <c r="A35" i="9" s="1"/>
  <c r="A36" i="9" s="1"/>
  <c r="A37" i="9" s="1"/>
  <c r="A38" i="9" s="1"/>
  <c r="C87" i="26"/>
  <c r="C88" i="26" s="1"/>
  <c r="C88" i="29" s="1"/>
  <c r="C57" i="26"/>
  <c r="C57" i="29" s="1"/>
  <c r="C40" i="29"/>
  <c r="B15" i="29"/>
  <c r="B16" i="29" s="1"/>
  <c r="C21" i="29"/>
  <c r="B16" i="26"/>
  <c r="B17" i="26" s="1"/>
  <c r="C72" i="12"/>
  <c r="B20" i="12"/>
  <c r="AI107" i="29"/>
  <c r="F107" i="29"/>
  <c r="B16" i="32"/>
  <c r="B17" i="32" s="1"/>
  <c r="B18" i="32" s="1"/>
  <c r="C46" i="12"/>
  <c r="C47" i="12" s="1"/>
  <c r="C48" i="12" s="1"/>
  <c r="C53" i="12"/>
  <c r="C89" i="12"/>
  <c r="C90" i="12" s="1"/>
  <c r="C91" i="12" s="1"/>
  <c r="G107" i="29"/>
  <c r="H107" i="29"/>
  <c r="C69" i="29"/>
  <c r="C22" i="29"/>
  <c r="C70" i="26"/>
  <c r="C18" i="26"/>
  <c r="C23" i="26"/>
  <c r="W64" i="12"/>
  <c r="W65" i="12"/>
  <c r="W60" i="12"/>
  <c r="W61" i="12"/>
  <c r="W61" i="32" s="1"/>
  <c r="AQ61" i="32"/>
  <c r="W62" i="12"/>
  <c r="W59" i="12"/>
  <c r="AJ82" i="26"/>
  <c r="W82" i="12"/>
  <c r="V82" i="26" s="1"/>
  <c r="W83" i="12"/>
  <c r="AQ81" i="32"/>
  <c r="W81" i="12"/>
  <c r="W81" i="32" s="1"/>
  <c r="W67" i="12"/>
  <c r="AJ66" i="26"/>
  <c r="W66" i="12"/>
  <c r="V66" i="26" s="1"/>
  <c r="AJ63" i="26"/>
  <c r="W63" i="12"/>
  <c r="V63" i="26" s="1"/>
  <c r="W50" i="12"/>
  <c r="W43" i="12"/>
  <c r="C20" i="12"/>
  <c r="C21" i="12" s="1"/>
  <c r="W29" i="12"/>
  <c r="AQ27" i="32"/>
  <c r="W27" i="12"/>
  <c r="W27" i="32" s="1"/>
  <c r="W26" i="12"/>
  <c r="AQ25" i="32"/>
  <c r="W25" i="12"/>
  <c r="W24" i="12"/>
  <c r="W23" i="12"/>
  <c r="W22" i="12"/>
  <c r="W21" i="12"/>
  <c r="V21" i="26" s="1"/>
  <c r="C15" i="12"/>
  <c r="C16" i="12" s="1"/>
  <c r="C8" i="12"/>
  <c r="W80" i="12"/>
  <c r="AQ42" i="32"/>
  <c r="W42" i="12"/>
  <c r="W42" i="32" s="1"/>
  <c r="AQ79" i="32"/>
  <c r="W79" i="12"/>
  <c r="W79" i="32" s="1"/>
  <c r="C87" i="29" l="1"/>
  <c r="C41" i="12"/>
  <c r="C58" i="26"/>
  <c r="C58" i="29" s="1"/>
  <c r="A39" i="9"/>
  <c r="W25" i="32"/>
  <c r="B17" i="29"/>
  <c r="B18" i="29" s="1"/>
  <c r="B19" i="29" s="1"/>
  <c r="B20" i="29" s="1"/>
  <c r="B21" i="29" s="1"/>
  <c r="B22" i="29" s="1"/>
  <c r="B18" i="26"/>
  <c r="B21" i="12"/>
  <c r="B22" i="12" s="1"/>
  <c r="B23" i="12" s="1"/>
  <c r="C73" i="12"/>
  <c r="C74" i="12" s="1"/>
  <c r="V80" i="26"/>
  <c r="V80" i="29" s="1"/>
  <c r="W80" i="32"/>
  <c r="AJ20" i="26"/>
  <c r="AJ20" i="29" s="1"/>
  <c r="AQ20" i="32"/>
  <c r="AJ21" i="26"/>
  <c r="AJ21" i="29" s="1"/>
  <c r="AQ21" i="32"/>
  <c r="AJ22" i="26"/>
  <c r="AJ22" i="29" s="1"/>
  <c r="AQ22" i="32"/>
  <c r="AJ23" i="26"/>
  <c r="AJ23" i="29" s="1"/>
  <c r="AQ23" i="32"/>
  <c r="AJ24" i="26"/>
  <c r="AJ24" i="29" s="1"/>
  <c r="AQ24" i="32"/>
  <c r="AJ26" i="26"/>
  <c r="AJ26" i="29" s="1"/>
  <c r="AQ26" i="32"/>
  <c r="V29" i="26"/>
  <c r="V29" i="29" s="1"/>
  <c r="W29" i="32"/>
  <c r="AJ43" i="26"/>
  <c r="AJ43" i="29" s="1"/>
  <c r="AQ43" i="32"/>
  <c r="AJ50" i="26"/>
  <c r="AJ50" i="29" s="1"/>
  <c r="AQ50" i="32"/>
  <c r="AJ67" i="26"/>
  <c r="AJ67" i="29" s="1"/>
  <c r="AQ67" i="32"/>
  <c r="V59" i="26"/>
  <c r="V59" i="29" s="1"/>
  <c r="W59" i="32"/>
  <c r="AJ62" i="26"/>
  <c r="AJ62" i="29" s="1"/>
  <c r="AQ62" i="32"/>
  <c r="AJ64" i="26"/>
  <c r="AJ64" i="29" s="1"/>
  <c r="AQ64" i="32"/>
  <c r="AJ80" i="26"/>
  <c r="AJ80" i="29" s="1"/>
  <c r="AQ80" i="32"/>
  <c r="V21" i="29"/>
  <c r="W21" i="32"/>
  <c r="V22" i="26"/>
  <c r="V22" i="29" s="1"/>
  <c r="W22" i="32"/>
  <c r="V23" i="26"/>
  <c r="V23" i="29" s="1"/>
  <c r="W23" i="32"/>
  <c r="V24" i="26"/>
  <c r="V24" i="29" s="1"/>
  <c r="W24" i="32"/>
  <c r="V26" i="26"/>
  <c r="V26" i="29" s="1"/>
  <c r="W26" i="32"/>
  <c r="AJ28" i="26"/>
  <c r="AJ28" i="29" s="1"/>
  <c r="AQ28" i="32"/>
  <c r="AJ29" i="26"/>
  <c r="AJ29" i="29" s="1"/>
  <c r="AQ29" i="32"/>
  <c r="V43" i="26"/>
  <c r="V43" i="29" s="1"/>
  <c r="W43" i="32"/>
  <c r="V50" i="26"/>
  <c r="V50" i="29" s="1"/>
  <c r="W50" i="32"/>
  <c r="V67" i="26"/>
  <c r="V67" i="29" s="1"/>
  <c r="W67" i="32"/>
  <c r="AJ59" i="26"/>
  <c r="AJ59" i="29" s="1"/>
  <c r="AQ59" i="32"/>
  <c r="V62" i="26"/>
  <c r="V62" i="29" s="1"/>
  <c r="W62" i="32"/>
  <c r="V64" i="26"/>
  <c r="V64" i="29" s="1"/>
  <c r="W64" i="32"/>
  <c r="B19" i="32"/>
  <c r="B20" i="32" s="1"/>
  <c r="C49" i="12"/>
  <c r="C54" i="12"/>
  <c r="C55" i="12" s="1"/>
  <c r="C59" i="26"/>
  <c r="B23" i="29"/>
  <c r="B24" i="29" s="1"/>
  <c r="B26" i="29" s="1"/>
  <c r="B28" i="29" s="1"/>
  <c r="C24" i="26"/>
  <c r="C26" i="26" s="1"/>
  <c r="C26" i="29" s="1"/>
  <c r="C23" i="29"/>
  <c r="C70" i="29"/>
  <c r="C19" i="26"/>
  <c r="C19" i="29" s="1"/>
  <c r="C18" i="29"/>
  <c r="C74" i="26"/>
  <c r="C22" i="12"/>
  <c r="C23" i="12" s="1"/>
  <c r="C17" i="12"/>
  <c r="C18" i="12" s="1"/>
  <c r="C19" i="12" s="1"/>
  <c r="C9" i="12"/>
  <c r="B19" i="26" l="1"/>
  <c r="C28" i="26"/>
  <c r="A40" i="9"/>
  <c r="A41" i="9" s="1"/>
  <c r="A42" i="9" s="1"/>
  <c r="A43" i="9" s="1"/>
  <c r="A44" i="9" s="1"/>
  <c r="A45" i="9" s="1"/>
  <c r="A46" i="9" s="1"/>
  <c r="B24" i="12"/>
  <c r="B25" i="12" s="1"/>
  <c r="C75" i="12"/>
  <c r="C76" i="12" s="1"/>
  <c r="B21" i="32"/>
  <c r="B22" i="32" s="1"/>
  <c r="B23" i="32" s="1"/>
  <c r="B24" i="32" s="1"/>
  <c r="B25" i="32" s="1"/>
  <c r="B26" i="32" s="1"/>
  <c r="B27" i="32" s="1"/>
  <c r="B28" i="32" s="1"/>
  <c r="B29" i="32" s="1"/>
  <c r="B30" i="32" s="1"/>
  <c r="B31" i="32" s="1"/>
  <c r="B32" i="32" s="1"/>
  <c r="B33" i="32" s="1"/>
  <c r="B34" i="32" s="1"/>
  <c r="B35" i="32" s="1"/>
  <c r="B36" i="32" s="1"/>
  <c r="B37" i="32" s="1"/>
  <c r="B38" i="32" s="1"/>
  <c r="B39" i="32" s="1"/>
  <c r="B40" i="32" s="1"/>
  <c r="B41" i="32" s="1"/>
  <c r="B42" i="32" s="1"/>
  <c r="B43" i="32" s="1"/>
  <c r="B44" i="32" s="1"/>
  <c r="B45" i="32" s="1"/>
  <c r="B46" i="32" s="1"/>
  <c r="B47" i="32" s="1"/>
  <c r="B48" i="32" s="1"/>
  <c r="B49" i="32" s="1"/>
  <c r="B50" i="32" s="1"/>
  <c r="B51" i="32" s="1"/>
  <c r="B52" i="32" s="1"/>
  <c r="B53" i="32" s="1"/>
  <c r="B54" i="32" s="1"/>
  <c r="B55" i="32" s="1"/>
  <c r="B56" i="32" s="1"/>
  <c r="B57" i="32" s="1"/>
  <c r="B58" i="32" s="1"/>
  <c r="B59" i="32" s="1"/>
  <c r="B60" i="32" s="1"/>
  <c r="B61" i="32" s="1"/>
  <c r="B62" i="32" s="1"/>
  <c r="B63" i="32" s="1"/>
  <c r="B64" i="32" s="1"/>
  <c r="B65" i="32" s="1"/>
  <c r="B66" i="32" s="1"/>
  <c r="B67" i="32" s="1"/>
  <c r="B68" i="32" s="1"/>
  <c r="B69" i="32" s="1"/>
  <c r="B70" i="32" s="1"/>
  <c r="B71" i="32" s="1"/>
  <c r="B72" i="32" s="1"/>
  <c r="B73" i="32" s="1"/>
  <c r="B74" i="32" s="1"/>
  <c r="B75" i="32" s="1"/>
  <c r="B76" i="32" s="1"/>
  <c r="B77" i="32" s="1"/>
  <c r="B78" i="32" s="1"/>
  <c r="B79" i="32" s="1"/>
  <c r="B80" i="32" s="1"/>
  <c r="B81" i="32" s="1"/>
  <c r="B82" i="32" s="1"/>
  <c r="B83" i="32" s="1"/>
  <c r="B84" i="32" s="1"/>
  <c r="B85" i="32" s="1"/>
  <c r="B86" i="32" s="1"/>
  <c r="B87" i="32" s="1"/>
  <c r="B88" i="32" s="1"/>
  <c r="B89" i="32" s="1"/>
  <c r="B90" i="32" s="1"/>
  <c r="B91" i="32" s="1"/>
  <c r="C56" i="12"/>
  <c r="C57" i="12" s="1"/>
  <c r="C58" i="12" s="1"/>
  <c r="C59" i="29"/>
  <c r="C62" i="26"/>
  <c r="B29" i="29"/>
  <c r="B30" i="29" s="1"/>
  <c r="B31" i="29" s="1"/>
  <c r="B32" i="29" s="1"/>
  <c r="B34" i="29" s="1"/>
  <c r="B35" i="29" s="1"/>
  <c r="B40" i="29" s="1"/>
  <c r="B41" i="29" s="1"/>
  <c r="B43" i="29" s="1"/>
  <c r="B50" i="29" s="1"/>
  <c r="B52" i="29" s="1"/>
  <c r="B57" i="29" s="1"/>
  <c r="B58" i="29" s="1"/>
  <c r="B59" i="29" s="1"/>
  <c r="B62" i="29" s="1"/>
  <c r="B64" i="29" s="1"/>
  <c r="B67" i="29" s="1"/>
  <c r="B68" i="29" s="1"/>
  <c r="B69" i="29" s="1"/>
  <c r="B70" i="29" s="1"/>
  <c r="B74" i="29" s="1"/>
  <c r="B77" i="29" s="1"/>
  <c r="B78" i="29" s="1"/>
  <c r="B80" i="29" s="1"/>
  <c r="B86" i="29" s="1"/>
  <c r="B87" i="29" s="1"/>
  <c r="B88" i="29" s="1"/>
  <c r="C74" i="29"/>
  <c r="C77" i="26"/>
  <c r="C77" i="29" s="1"/>
  <c r="C24" i="29"/>
  <c r="C24" i="12"/>
  <c r="C25" i="12" s="1"/>
  <c r="C10" i="12"/>
  <c r="C11" i="12" s="1"/>
  <c r="F40" i="9"/>
  <c r="F16" i="9"/>
  <c r="F20" i="9"/>
  <c r="F21" i="9"/>
  <c r="G25" i="9"/>
  <c r="T25" i="9" s="1"/>
  <c r="F29" i="9"/>
  <c r="F38" i="9"/>
  <c r="F44" i="9"/>
  <c r="F57" i="9"/>
  <c r="F60" i="9"/>
  <c r="F64" i="9"/>
  <c r="G64" i="9" s="1"/>
  <c r="F68" i="9"/>
  <c r="F82" i="9"/>
  <c r="M92" i="9"/>
  <c r="Q93" i="9"/>
  <c r="R94" i="9"/>
  <c r="H95" i="9"/>
  <c r="T96" i="9"/>
  <c r="P98" i="9"/>
  <c r="N99" i="9"/>
  <c r="L100" i="9"/>
  <c r="J101" i="9"/>
  <c r="K102" i="9"/>
  <c r="T104" i="9"/>
  <c r="M105" i="9"/>
  <c r="H108" i="3"/>
  <c r="O108" i="3" s="1"/>
  <c r="T108" i="3"/>
  <c r="G108" i="3"/>
  <c r="A108" i="3"/>
  <c r="P17" i="21"/>
  <c r="O17" i="21"/>
  <c r="P16" i="21"/>
  <c r="O16" i="21"/>
  <c r="P15" i="21"/>
  <c r="O15" i="21"/>
  <c r="P14" i="21"/>
  <c r="O14" i="21"/>
  <c r="AM9" i="21"/>
  <c r="AL9" i="21"/>
  <c r="AK9" i="21"/>
  <c r="AJ9" i="21"/>
  <c r="AI9" i="21"/>
  <c r="AH9" i="21"/>
  <c r="AG9" i="21"/>
  <c r="AF9" i="21"/>
  <c r="AE9" i="21"/>
  <c r="AD9" i="21"/>
  <c r="AC9" i="21"/>
  <c r="AM8" i="21"/>
  <c r="AL8" i="21"/>
  <c r="AK8" i="21"/>
  <c r="AJ8" i="21"/>
  <c r="AI8" i="21"/>
  <c r="AH8" i="21"/>
  <c r="AG8" i="21"/>
  <c r="AF8" i="21"/>
  <c r="AE8" i="21"/>
  <c r="AD8" i="21"/>
  <c r="AC8" i="21"/>
  <c r="AM7" i="21"/>
  <c r="AL7" i="21"/>
  <c r="AK7" i="21"/>
  <c r="AJ7" i="21"/>
  <c r="AI7" i="21"/>
  <c r="AH7" i="21"/>
  <c r="AG7" i="21"/>
  <c r="AF7" i="21"/>
  <c r="AE7" i="21"/>
  <c r="AD7" i="21"/>
  <c r="AC7" i="21"/>
  <c r="AM6" i="21"/>
  <c r="AL6" i="21"/>
  <c r="AK6" i="21"/>
  <c r="AJ6" i="21"/>
  <c r="AI6" i="21"/>
  <c r="AH6" i="21"/>
  <c r="AG6" i="21"/>
  <c r="AF6" i="21"/>
  <c r="AE6" i="21"/>
  <c r="AD6" i="21"/>
  <c r="AC6" i="21"/>
  <c r="A108" i="14"/>
  <c r="AF14" i="14"/>
  <c r="AG14" i="14" s="1"/>
  <c r="AD14" i="14"/>
  <c r="AE14" i="14" s="1"/>
  <c r="AB14" i="14"/>
  <c r="AC14" i="14" s="1"/>
  <c r="Z14" i="14"/>
  <c r="AA14" i="14" s="1"/>
  <c r="X14" i="14"/>
  <c r="Y14" i="14" s="1"/>
  <c r="V14" i="14"/>
  <c r="W14" i="14" s="1"/>
  <c r="T14" i="14"/>
  <c r="U14" i="14" s="1"/>
  <c r="R14" i="14"/>
  <c r="S14" i="14" s="1"/>
  <c r="AF13" i="14"/>
  <c r="AD13" i="14"/>
  <c r="AE13" i="14" s="1"/>
  <c r="AB13" i="14"/>
  <c r="Z13" i="14"/>
  <c r="AA13" i="14" s="1"/>
  <c r="X13" i="14"/>
  <c r="V13" i="14"/>
  <c r="W13" i="14" s="1"/>
  <c r="T13" i="14"/>
  <c r="AF12" i="14"/>
  <c r="AG12" i="14" s="1"/>
  <c r="AD12" i="14"/>
  <c r="Z12" i="14"/>
  <c r="V12" i="14"/>
  <c r="R12" i="14"/>
  <c r="S12" i="14" s="1"/>
  <c r="AB12" i="14"/>
  <c r="AC12" i="14" s="1"/>
  <c r="X12" i="14"/>
  <c r="Y12" i="14" s="1"/>
  <c r="T12" i="14"/>
  <c r="U12" i="14" s="1"/>
  <c r="T10" i="14"/>
  <c r="R10" i="14"/>
  <c r="S10" i="14" s="1"/>
  <c r="AF8" i="14"/>
  <c r="AG8" i="14" s="1"/>
  <c r="AD8" i="14"/>
  <c r="X8" i="14"/>
  <c r="R8" i="14"/>
  <c r="S8" i="14" s="1"/>
  <c r="AB8" i="14"/>
  <c r="AC8" i="14" s="1"/>
  <c r="Z8" i="14"/>
  <c r="AA8" i="14" s="1"/>
  <c r="V8" i="14"/>
  <c r="W8" i="14" s="1"/>
  <c r="T8" i="14"/>
  <c r="U8" i="14" s="1"/>
  <c r="B109" i="12"/>
  <c r="W107" i="12"/>
  <c r="AQ106" i="32"/>
  <c r="W106" i="12"/>
  <c r="W106" i="32" s="1"/>
  <c r="AQ105" i="32"/>
  <c r="W105" i="12"/>
  <c r="W105" i="32" s="1"/>
  <c r="AQ104" i="32"/>
  <c r="W104" i="12"/>
  <c r="W104" i="32" s="1"/>
  <c r="AQ103" i="32"/>
  <c r="W103" i="12"/>
  <c r="W103" i="32" s="1"/>
  <c r="AQ102" i="32"/>
  <c r="W102" i="12"/>
  <c r="W102" i="32" s="1"/>
  <c r="AQ101" i="32"/>
  <c r="W101" i="12"/>
  <c r="W101" i="32" s="1"/>
  <c r="AQ100" i="32"/>
  <c r="W100" i="12"/>
  <c r="W100" i="32" s="1"/>
  <c r="AQ99" i="32"/>
  <c r="W99" i="12"/>
  <c r="W99" i="32" s="1"/>
  <c r="AQ98" i="32"/>
  <c r="W98" i="12"/>
  <c r="W98" i="32" s="1"/>
  <c r="AQ97" i="32"/>
  <c r="W97" i="12"/>
  <c r="W97" i="32" s="1"/>
  <c r="AQ96" i="32"/>
  <c r="W96" i="12"/>
  <c r="W96" i="32" s="1"/>
  <c r="AQ95" i="32"/>
  <c r="W95" i="12"/>
  <c r="W95" i="32" s="1"/>
  <c r="AQ94" i="32"/>
  <c r="W94" i="12"/>
  <c r="W94" i="32" s="1"/>
  <c r="AQ93" i="32"/>
  <c r="W93" i="12"/>
  <c r="W93" i="32" s="1"/>
  <c r="AQ92" i="32"/>
  <c r="W92" i="12"/>
  <c r="W92" i="32" s="1"/>
  <c r="AQ91" i="32"/>
  <c r="W91" i="12"/>
  <c r="W91" i="32" s="1"/>
  <c r="AQ90" i="32"/>
  <c r="W90" i="12"/>
  <c r="W90" i="32" s="1"/>
  <c r="AQ89" i="32"/>
  <c r="W89" i="12"/>
  <c r="W89" i="32" s="1"/>
  <c r="W88" i="12"/>
  <c r="W87" i="12"/>
  <c r="W86" i="12"/>
  <c r="AQ85" i="32"/>
  <c r="W85" i="12"/>
  <c r="W85" i="32" s="1"/>
  <c r="AQ84" i="32"/>
  <c r="W84" i="12"/>
  <c r="W84" i="32" s="1"/>
  <c r="W78" i="12"/>
  <c r="W77" i="12"/>
  <c r="AQ76" i="32"/>
  <c r="W76" i="12"/>
  <c r="W76" i="32" s="1"/>
  <c r="AQ75" i="32"/>
  <c r="W75" i="12"/>
  <c r="W75" i="32" s="1"/>
  <c r="W74" i="12"/>
  <c r="AQ73" i="32"/>
  <c r="W73" i="12"/>
  <c r="W73" i="32" s="1"/>
  <c r="AQ72" i="32"/>
  <c r="W72" i="12"/>
  <c r="W72" i="32" s="1"/>
  <c r="AQ71" i="32"/>
  <c r="W71" i="12"/>
  <c r="W71" i="32" s="1"/>
  <c r="W70" i="12"/>
  <c r="W69" i="12"/>
  <c r="W68" i="12"/>
  <c r="W58" i="12"/>
  <c r="W57" i="12"/>
  <c r="AQ56" i="32"/>
  <c r="W56" i="12"/>
  <c r="W56" i="32" s="1"/>
  <c r="AQ55" i="32"/>
  <c r="W55" i="12"/>
  <c r="W55" i="32" s="1"/>
  <c r="AQ54" i="32"/>
  <c r="W54" i="12"/>
  <c r="W54" i="32" s="1"/>
  <c r="AQ53" i="32"/>
  <c r="W53" i="12"/>
  <c r="W53" i="32" s="1"/>
  <c r="W52" i="12"/>
  <c r="AQ51" i="32"/>
  <c r="W51" i="12"/>
  <c r="W51" i="32" s="1"/>
  <c r="AQ49" i="32"/>
  <c r="W49" i="12"/>
  <c r="W49" i="32" s="1"/>
  <c r="AQ48" i="32"/>
  <c r="W48" i="12"/>
  <c r="W48" i="32" s="1"/>
  <c r="AQ47" i="32"/>
  <c r="W47" i="12"/>
  <c r="W47" i="32" s="1"/>
  <c r="AQ46" i="32"/>
  <c r="W46" i="12"/>
  <c r="W46" i="32" s="1"/>
  <c r="AQ45" i="32"/>
  <c r="W45" i="12"/>
  <c r="W45" i="32" s="1"/>
  <c r="AQ44" i="32"/>
  <c r="W44" i="12"/>
  <c r="W44" i="32" s="1"/>
  <c r="W41" i="12"/>
  <c r="W40" i="12"/>
  <c r="AQ39" i="32"/>
  <c r="AQ38" i="32"/>
  <c r="W38" i="12"/>
  <c r="W38" i="32" s="1"/>
  <c r="AQ37" i="32"/>
  <c r="W37" i="12"/>
  <c r="W37" i="32" s="1"/>
  <c r="AQ36" i="32"/>
  <c r="W36" i="12"/>
  <c r="W36" i="32" s="1"/>
  <c r="W35" i="12"/>
  <c r="W34" i="12"/>
  <c r="W33" i="12"/>
  <c r="W32" i="12"/>
  <c r="W31" i="12"/>
  <c r="W19" i="12"/>
  <c r="V19" i="26" s="1"/>
  <c r="W18" i="12"/>
  <c r="V18" i="26" s="1"/>
  <c r="W17" i="12"/>
  <c r="V17" i="26" s="1"/>
  <c r="W16" i="12"/>
  <c r="V16" i="26" s="1"/>
  <c r="AQ14" i="32"/>
  <c r="W14" i="12"/>
  <c r="W14" i="32" s="1"/>
  <c r="W13" i="12"/>
  <c r="AQ12" i="32"/>
  <c r="W12" i="12"/>
  <c r="W12" i="32" s="1"/>
  <c r="AQ10" i="32"/>
  <c r="W10" i="12"/>
  <c r="W10" i="32" s="1"/>
  <c r="W9" i="12"/>
  <c r="V9" i="26" s="1"/>
  <c r="W8" i="12"/>
  <c r="L108" i="3"/>
  <c r="C28" i="29" l="1"/>
  <c r="B20" i="26"/>
  <c r="C29" i="26"/>
  <c r="C29" i="29" s="1"/>
  <c r="A47" i="9"/>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P108" i="3"/>
  <c r="V8" i="26"/>
  <c r="U7" i="21"/>
  <c r="Y8" i="14"/>
  <c r="W12" i="14"/>
  <c r="AA12" i="14" s="1"/>
  <c r="AE12" i="14" s="1"/>
  <c r="V7" i="21"/>
  <c r="R7" i="21"/>
  <c r="AA7" i="21"/>
  <c r="U6" i="21"/>
  <c r="Q6" i="21"/>
  <c r="W9" i="21"/>
  <c r="S9" i="21"/>
  <c r="O6" i="21"/>
  <c r="V8" i="21"/>
  <c r="R8" i="21"/>
  <c r="P7" i="21"/>
  <c r="S6" i="21"/>
  <c r="U9" i="21"/>
  <c r="Z6" i="21"/>
  <c r="Z10" i="21" s="1"/>
  <c r="P8" i="21"/>
  <c r="S7" i="21"/>
  <c r="R6" i="21"/>
  <c r="P9" i="21"/>
  <c r="S8" i="21"/>
  <c r="AA8" i="21"/>
  <c r="Q7" i="21"/>
  <c r="X6" i="21"/>
  <c r="X10" i="21" s="1"/>
  <c r="T6" i="21"/>
  <c r="P6" i="21"/>
  <c r="V9" i="21"/>
  <c r="R9" i="21"/>
  <c r="AA9" i="21"/>
  <c r="U8" i="21"/>
  <c r="Q8" i="21"/>
  <c r="Y6" i="21"/>
  <c r="Y10" i="21" s="1"/>
  <c r="T7" i="21"/>
  <c r="W6" i="21"/>
  <c r="O8" i="21"/>
  <c r="Q9" i="21"/>
  <c r="T8" i="21"/>
  <c r="W7" i="21"/>
  <c r="O9" i="21"/>
  <c r="V6" i="21"/>
  <c r="AA6" i="21"/>
  <c r="T9" i="21"/>
  <c r="W8" i="21"/>
  <c r="O7" i="21"/>
  <c r="B26" i="12"/>
  <c r="C77" i="12"/>
  <c r="V17" i="29"/>
  <c r="W17" i="32"/>
  <c r="V19" i="29"/>
  <c r="W19" i="32"/>
  <c r="V31" i="26"/>
  <c r="V31" i="29" s="1"/>
  <c r="W31" i="32"/>
  <c r="AJ34" i="26"/>
  <c r="AJ34" i="29" s="1"/>
  <c r="AQ34" i="32"/>
  <c r="V40" i="26"/>
  <c r="V40" i="29" s="1"/>
  <c r="W40" i="32"/>
  <c r="V8" i="29"/>
  <c r="W8" i="32"/>
  <c r="V9" i="29"/>
  <c r="W9" i="32"/>
  <c r="V16" i="29"/>
  <c r="W16" i="32"/>
  <c r="V18" i="29"/>
  <c r="W18" i="32"/>
  <c r="V30" i="26"/>
  <c r="V30" i="29" s="1"/>
  <c r="W30" i="32"/>
  <c r="V32" i="26"/>
  <c r="V32" i="29" s="1"/>
  <c r="W32" i="32"/>
  <c r="AJ35" i="26"/>
  <c r="AJ35" i="29" s="1"/>
  <c r="AQ35" i="32"/>
  <c r="V41" i="26"/>
  <c r="V41" i="29" s="1"/>
  <c r="W41" i="32"/>
  <c r="V52" i="26"/>
  <c r="V52" i="29" s="1"/>
  <c r="W52" i="32"/>
  <c r="V57" i="26"/>
  <c r="V57" i="29" s="1"/>
  <c r="W57" i="32"/>
  <c r="V58" i="26"/>
  <c r="V58" i="29" s="1"/>
  <c r="W58" i="32"/>
  <c r="V68" i="26"/>
  <c r="V68" i="29" s="1"/>
  <c r="W68" i="32"/>
  <c r="V69" i="26"/>
  <c r="V69" i="29" s="1"/>
  <c r="W69" i="32"/>
  <c r="V70" i="26"/>
  <c r="V70" i="29" s="1"/>
  <c r="W70" i="32"/>
  <c r="V74" i="26"/>
  <c r="V74" i="29" s="1"/>
  <c r="W74" i="32"/>
  <c r="V77" i="26"/>
  <c r="V77" i="29" s="1"/>
  <c r="W77" i="32"/>
  <c r="V78" i="26"/>
  <c r="V78" i="29" s="1"/>
  <c r="W78" i="32"/>
  <c r="V86" i="26"/>
  <c r="V86" i="29" s="1"/>
  <c r="W86" i="32"/>
  <c r="V87" i="26"/>
  <c r="V87" i="29" s="1"/>
  <c r="W87" i="32"/>
  <c r="V88" i="26"/>
  <c r="V88" i="29" s="1"/>
  <c r="W88" i="32"/>
  <c r="AJ8" i="26"/>
  <c r="AJ8" i="29" s="1"/>
  <c r="AP27" i="21"/>
  <c r="AP26" i="21"/>
  <c r="AP25" i="21"/>
  <c r="AQ27" i="21"/>
  <c r="AQ25" i="21"/>
  <c r="AQ26" i="21"/>
  <c r="AQ8" i="32"/>
  <c r="AJ9" i="26"/>
  <c r="AJ9" i="29" s="1"/>
  <c r="AQ9" i="32"/>
  <c r="AJ15" i="26"/>
  <c r="AJ15" i="29" s="1"/>
  <c r="AQ15" i="32"/>
  <c r="AJ16" i="26"/>
  <c r="AJ16" i="29" s="1"/>
  <c r="AQ16" i="32"/>
  <c r="AJ17" i="26"/>
  <c r="AJ17" i="29" s="1"/>
  <c r="AQ17" i="32"/>
  <c r="AJ18" i="26"/>
  <c r="AJ18" i="29" s="1"/>
  <c r="AQ18" i="32"/>
  <c r="AJ19" i="26"/>
  <c r="AJ19" i="29" s="1"/>
  <c r="AQ19" i="32"/>
  <c r="AJ30" i="26"/>
  <c r="AJ30" i="29" s="1"/>
  <c r="AQ30" i="32"/>
  <c r="AJ31" i="26"/>
  <c r="AJ31" i="29" s="1"/>
  <c r="AQ31" i="32"/>
  <c r="AJ32" i="26"/>
  <c r="AJ32" i="29" s="1"/>
  <c r="AQ32" i="32"/>
  <c r="V34" i="26"/>
  <c r="V34" i="29" s="1"/>
  <c r="W34" i="32"/>
  <c r="V35" i="26"/>
  <c r="V35" i="29" s="1"/>
  <c r="W35" i="32"/>
  <c r="AJ40" i="26"/>
  <c r="AJ40" i="29" s="1"/>
  <c r="AQ40" i="32"/>
  <c r="AJ41" i="26"/>
  <c r="AJ41" i="29" s="1"/>
  <c r="AQ41" i="32"/>
  <c r="AJ52" i="26"/>
  <c r="AJ52" i="29" s="1"/>
  <c r="AQ52" i="32"/>
  <c r="AJ57" i="26"/>
  <c r="AJ57" i="29" s="1"/>
  <c r="AQ57" i="32"/>
  <c r="AJ58" i="26"/>
  <c r="AJ58" i="29" s="1"/>
  <c r="AQ58" i="32"/>
  <c r="AJ68" i="26"/>
  <c r="AJ68" i="29" s="1"/>
  <c r="AQ68" i="32"/>
  <c r="AJ69" i="26"/>
  <c r="AJ69" i="29" s="1"/>
  <c r="AQ69" i="32"/>
  <c r="AJ70" i="26"/>
  <c r="AJ70" i="29" s="1"/>
  <c r="AQ70" i="32"/>
  <c r="AJ74" i="26"/>
  <c r="AJ74" i="29" s="1"/>
  <c r="AQ74" i="32"/>
  <c r="AJ77" i="26"/>
  <c r="AJ77" i="29" s="1"/>
  <c r="AQ77" i="32"/>
  <c r="AJ78" i="26"/>
  <c r="AJ78" i="29" s="1"/>
  <c r="AQ78" i="32"/>
  <c r="AJ86" i="26"/>
  <c r="AJ86" i="29" s="1"/>
  <c r="AQ86" i="32"/>
  <c r="AJ87" i="26"/>
  <c r="AJ87" i="29" s="1"/>
  <c r="AQ87" i="32"/>
  <c r="AJ88" i="26"/>
  <c r="AJ88" i="29" s="1"/>
  <c r="AQ88" i="32"/>
  <c r="AD10" i="21"/>
  <c r="AF10" i="21"/>
  <c r="AH10" i="21"/>
  <c r="AJ10" i="21"/>
  <c r="AL10" i="21"/>
  <c r="AE10" i="21"/>
  <c r="AG10" i="21"/>
  <c r="AI10" i="21"/>
  <c r="AM10" i="21"/>
  <c r="C59" i="12"/>
  <c r="C60" i="12" s="1"/>
  <c r="C30" i="26"/>
  <c r="C30" i="29" s="1"/>
  <c r="C62" i="29"/>
  <c r="C63" i="26"/>
  <c r="C78" i="26"/>
  <c r="C78" i="12"/>
  <c r="AK10" i="21"/>
  <c r="M99" i="9"/>
  <c r="C26" i="12"/>
  <c r="C27" i="12" s="1"/>
  <c r="AC10" i="21"/>
  <c r="F51" i="9"/>
  <c r="G51" i="9" s="1"/>
  <c r="C12" i="12"/>
  <c r="C13" i="12" s="1"/>
  <c r="AP12" i="21"/>
  <c r="AP8" i="21"/>
  <c r="AQ18" i="21"/>
  <c r="H64" i="9"/>
  <c r="I64" i="9" s="1"/>
  <c r="AP17" i="21"/>
  <c r="AQ13" i="21"/>
  <c r="N64" i="9"/>
  <c r="AP20" i="21"/>
  <c r="AP9" i="21"/>
  <c r="AQ10" i="21"/>
  <c r="AQ21" i="21"/>
  <c r="Q15" i="9"/>
  <c r="G100" i="9"/>
  <c r="F100" i="9"/>
  <c r="S64" i="9"/>
  <c r="P64" i="9"/>
  <c r="F23" i="9"/>
  <c r="G23" i="9" s="1"/>
  <c r="S23" i="9" s="1"/>
  <c r="F74" i="9"/>
  <c r="G74" i="9" s="1"/>
  <c r="J74" i="9" s="1"/>
  <c r="Q94" i="9"/>
  <c r="O104" i="9"/>
  <c r="F67" i="9"/>
  <c r="G67" i="9" s="1"/>
  <c r="L67" i="9" s="1"/>
  <c r="F105" i="9"/>
  <c r="M64" i="9"/>
  <c r="Q64" i="9"/>
  <c r="P18" i="21"/>
  <c r="F19" i="9"/>
  <c r="G19" i="9" s="1"/>
  <c r="J19" i="9" s="1"/>
  <c r="G27" i="9"/>
  <c r="K27" i="9" s="1"/>
  <c r="F78" i="9"/>
  <c r="G78" i="9" s="1"/>
  <c r="J78" i="9" s="1"/>
  <c r="F86" i="9"/>
  <c r="G86" i="9" s="1"/>
  <c r="J86" i="9" s="1"/>
  <c r="F92" i="9"/>
  <c r="L92" i="9"/>
  <c r="L96" i="9"/>
  <c r="S102" i="9"/>
  <c r="R64" i="9"/>
  <c r="K64" i="9"/>
  <c r="L64" i="9"/>
  <c r="T64" i="9"/>
  <c r="O64" i="9"/>
  <c r="F17" i="9"/>
  <c r="G17" i="9" s="1"/>
  <c r="J17" i="9" s="1"/>
  <c r="F72" i="9"/>
  <c r="G72" i="9" s="1"/>
  <c r="F76" i="9"/>
  <c r="G76" i="9" s="1"/>
  <c r="F80" i="9"/>
  <c r="G80" i="9" s="1"/>
  <c r="F84" i="9"/>
  <c r="G84" i="9" s="1"/>
  <c r="F88" i="9"/>
  <c r="F96" i="9"/>
  <c r="F104" i="9"/>
  <c r="G92" i="9"/>
  <c r="T94" i="9"/>
  <c r="O96" i="9"/>
  <c r="K98" i="9"/>
  <c r="T100" i="9"/>
  <c r="P102" i="9"/>
  <c r="L104" i="9"/>
  <c r="F47" i="9"/>
  <c r="G47" i="9" s="1"/>
  <c r="Q47" i="9" s="1"/>
  <c r="G57" i="9"/>
  <c r="M57" i="9" s="1"/>
  <c r="S95" i="9"/>
  <c r="Q103" i="9"/>
  <c r="H103" i="9"/>
  <c r="R97" i="9"/>
  <c r="Q97" i="9"/>
  <c r="F91" i="9"/>
  <c r="G91" i="9" s="1"/>
  <c r="P91" i="9" s="1"/>
  <c r="F65" i="9"/>
  <c r="F61" i="9"/>
  <c r="F59" i="9"/>
  <c r="F55" i="9"/>
  <c r="F49" i="9"/>
  <c r="G49" i="9" s="1"/>
  <c r="F45" i="9"/>
  <c r="F41" i="9"/>
  <c r="F36" i="9"/>
  <c r="F34" i="9"/>
  <c r="G28" i="9"/>
  <c r="P28" i="9" s="1"/>
  <c r="F52" i="9"/>
  <c r="F48" i="9"/>
  <c r="G48" i="9" s="1"/>
  <c r="F35" i="9"/>
  <c r="F33" i="9"/>
  <c r="F31" i="9"/>
  <c r="F89" i="9"/>
  <c r="G89" i="9" s="1"/>
  <c r="T89" i="9" s="1"/>
  <c r="F69" i="9"/>
  <c r="G69" i="9" s="1"/>
  <c r="J69" i="9" s="1"/>
  <c r="F63" i="9"/>
  <c r="F32" i="9"/>
  <c r="G26" i="9"/>
  <c r="J26" i="9" s="1"/>
  <c r="G24" i="9"/>
  <c r="G21" i="9"/>
  <c r="L21" i="9" s="1"/>
  <c r="P25" i="9"/>
  <c r="K105" i="9"/>
  <c r="O105" i="9"/>
  <c r="S105" i="9"/>
  <c r="G105" i="9"/>
  <c r="L105" i="9"/>
  <c r="P105" i="9"/>
  <c r="T105" i="9"/>
  <c r="Q105" i="9"/>
  <c r="J105" i="9"/>
  <c r="R105" i="9"/>
  <c r="I105" i="9"/>
  <c r="H105" i="9"/>
  <c r="N105" i="9"/>
  <c r="K103" i="9"/>
  <c r="O103" i="9"/>
  <c r="S103" i="9"/>
  <c r="G103" i="9"/>
  <c r="M103" i="9"/>
  <c r="I103" i="9"/>
  <c r="L103" i="9"/>
  <c r="P103" i="9"/>
  <c r="T103" i="9"/>
  <c r="F103" i="9"/>
  <c r="J103" i="9"/>
  <c r="R103" i="9"/>
  <c r="N103" i="9"/>
  <c r="K101" i="9"/>
  <c r="O101" i="9"/>
  <c r="S101" i="9"/>
  <c r="G101" i="9"/>
  <c r="L101" i="9"/>
  <c r="P101" i="9"/>
  <c r="T101" i="9"/>
  <c r="M101" i="9"/>
  <c r="I101" i="9"/>
  <c r="N101" i="9"/>
  <c r="H101" i="9"/>
  <c r="F101" i="9"/>
  <c r="Q101" i="9"/>
  <c r="R101" i="9"/>
  <c r="K99" i="9"/>
  <c r="O99" i="9"/>
  <c r="S99" i="9"/>
  <c r="G99" i="9"/>
  <c r="L99" i="9"/>
  <c r="P99" i="9"/>
  <c r="T99" i="9"/>
  <c r="F99" i="9"/>
  <c r="Q99" i="9"/>
  <c r="J99" i="9"/>
  <c r="R99" i="9"/>
  <c r="I99" i="9"/>
  <c r="H99" i="9"/>
  <c r="K97" i="9"/>
  <c r="O97" i="9"/>
  <c r="S97" i="9"/>
  <c r="G97" i="9"/>
  <c r="L97" i="9"/>
  <c r="P97" i="9"/>
  <c r="T97" i="9"/>
  <c r="M97" i="9"/>
  <c r="I97" i="9"/>
  <c r="N97" i="9"/>
  <c r="H97" i="9"/>
  <c r="J97" i="9"/>
  <c r="F97" i="9"/>
  <c r="J95" i="9"/>
  <c r="M95" i="9"/>
  <c r="Q95" i="9"/>
  <c r="I95" i="9"/>
  <c r="L95" i="9"/>
  <c r="P95" i="9"/>
  <c r="T95" i="9"/>
  <c r="F95" i="9"/>
  <c r="O95" i="9"/>
  <c r="G95" i="9"/>
  <c r="R95" i="9"/>
  <c r="K95" i="9"/>
  <c r="N95" i="9"/>
  <c r="J93" i="9"/>
  <c r="N93" i="9"/>
  <c r="R93" i="9"/>
  <c r="M93" i="9"/>
  <c r="I93" i="9"/>
  <c r="K93" i="9"/>
  <c r="S93" i="9"/>
  <c r="L93" i="9"/>
  <c r="T93" i="9"/>
  <c r="G93" i="9"/>
  <c r="H93" i="9"/>
  <c r="F93" i="9"/>
  <c r="P93" i="9"/>
  <c r="O93" i="9"/>
  <c r="F87" i="9"/>
  <c r="G87" i="9" s="1"/>
  <c r="F85" i="9"/>
  <c r="F83" i="9"/>
  <c r="F81" i="9"/>
  <c r="G81" i="9" s="1"/>
  <c r="O81" i="9" s="1"/>
  <c r="F79" i="9"/>
  <c r="F77" i="9"/>
  <c r="F75" i="9"/>
  <c r="F73" i="9"/>
  <c r="G73" i="9" s="1"/>
  <c r="F71" i="9"/>
  <c r="G71" i="9" s="1"/>
  <c r="N71" i="9" s="1"/>
  <c r="F50" i="9"/>
  <c r="F39" i="9"/>
  <c r="F37" i="9"/>
  <c r="G40" i="9"/>
  <c r="F70" i="9"/>
  <c r="G70" i="9" s="1"/>
  <c r="G16" i="9"/>
  <c r="K16" i="9" s="1"/>
  <c r="G38" i="9"/>
  <c r="J38" i="9" s="1"/>
  <c r="J64" i="9"/>
  <c r="G68" i="9"/>
  <c r="J92" i="9"/>
  <c r="G96" i="9"/>
  <c r="S98" i="9"/>
  <c r="O100" i="9"/>
  <c r="G104" i="9"/>
  <c r="AE8" i="14"/>
  <c r="R25" i="9"/>
  <c r="L25" i="9"/>
  <c r="M25" i="9"/>
  <c r="H25" i="9"/>
  <c r="I25" i="9" s="1"/>
  <c r="J25" i="9"/>
  <c r="S25" i="9"/>
  <c r="G46" i="9"/>
  <c r="G44" i="9"/>
  <c r="S44" i="9" s="1"/>
  <c r="O25" i="9"/>
  <c r="Q25" i="9"/>
  <c r="N25" i="9"/>
  <c r="AP24" i="21"/>
  <c r="AP16" i="21"/>
  <c r="AP21" i="21"/>
  <c r="AP13" i="21"/>
  <c r="AQ14" i="21"/>
  <c r="AQ22" i="21"/>
  <c r="AQ9" i="21"/>
  <c r="AQ17" i="21"/>
  <c r="AQ23" i="21"/>
  <c r="AQ19" i="21"/>
  <c r="AQ15" i="21"/>
  <c r="AQ11" i="21"/>
  <c r="AQ7" i="21"/>
  <c r="AQ24" i="21"/>
  <c r="AQ20" i="21"/>
  <c r="AQ16" i="21"/>
  <c r="AQ12" i="21"/>
  <c r="AQ8" i="21"/>
  <c r="AP7" i="21"/>
  <c r="AP11" i="21"/>
  <c r="AP15" i="21"/>
  <c r="AP19" i="21"/>
  <c r="AP23" i="21"/>
  <c r="AP10" i="21"/>
  <c r="AP14" i="21"/>
  <c r="AP18" i="21"/>
  <c r="AP22" i="21"/>
  <c r="X108" i="3"/>
  <c r="Q108" i="3"/>
  <c r="M108" i="3"/>
  <c r="I108" i="3"/>
  <c r="S108" i="3"/>
  <c r="K108" i="3"/>
  <c r="J108" i="3"/>
  <c r="N108" i="3"/>
  <c r="R108" i="3"/>
  <c r="G82" i="9"/>
  <c r="J104" i="9"/>
  <c r="N104" i="9"/>
  <c r="R104" i="9"/>
  <c r="I104" i="9"/>
  <c r="M104" i="9"/>
  <c r="Q104" i="9"/>
  <c r="H104" i="9"/>
  <c r="P104" i="9"/>
  <c r="K104" i="9"/>
  <c r="S104" i="9"/>
  <c r="J102" i="9"/>
  <c r="N102" i="9"/>
  <c r="R102" i="9"/>
  <c r="I102" i="9"/>
  <c r="M102" i="9"/>
  <c r="Q102" i="9"/>
  <c r="H102" i="9"/>
  <c r="L102" i="9"/>
  <c r="T102" i="9"/>
  <c r="O102" i="9"/>
  <c r="G102" i="9"/>
  <c r="F102" i="9"/>
  <c r="J100" i="9"/>
  <c r="N100" i="9"/>
  <c r="R100" i="9"/>
  <c r="I100" i="9"/>
  <c r="M100" i="9"/>
  <c r="Q100" i="9"/>
  <c r="H100" i="9"/>
  <c r="P100" i="9"/>
  <c r="K100" i="9"/>
  <c r="S100" i="9"/>
  <c r="J98" i="9"/>
  <c r="N98" i="9"/>
  <c r="R98" i="9"/>
  <c r="I98" i="9"/>
  <c r="M98" i="9"/>
  <c r="Q98" i="9"/>
  <c r="H98" i="9"/>
  <c r="L98" i="9"/>
  <c r="T98" i="9"/>
  <c r="O98" i="9"/>
  <c r="G98" i="9"/>
  <c r="F98" i="9"/>
  <c r="J96" i="9"/>
  <c r="N96" i="9"/>
  <c r="R96" i="9"/>
  <c r="I96" i="9"/>
  <c r="M96" i="9"/>
  <c r="Q96" i="9"/>
  <c r="H96" i="9"/>
  <c r="P96" i="9"/>
  <c r="K96" i="9"/>
  <c r="S96" i="9"/>
  <c r="K94" i="9"/>
  <c r="O94" i="9"/>
  <c r="S94" i="9"/>
  <c r="N94" i="9"/>
  <c r="I94" i="9"/>
  <c r="P94" i="9"/>
  <c r="H94" i="9"/>
  <c r="M94" i="9"/>
  <c r="J94" i="9"/>
  <c r="L94" i="9"/>
  <c r="G94" i="9"/>
  <c r="F94" i="9"/>
  <c r="K92" i="9"/>
  <c r="O92" i="9"/>
  <c r="S92" i="9"/>
  <c r="P92" i="9"/>
  <c r="I92" i="9"/>
  <c r="N92" i="9"/>
  <c r="H92" i="9"/>
  <c r="Q92" i="9"/>
  <c r="T92" i="9"/>
  <c r="R92" i="9"/>
  <c r="F62" i="9"/>
  <c r="G62" i="9" s="1"/>
  <c r="G60" i="9"/>
  <c r="T60" i="9" s="1"/>
  <c r="F22" i="9"/>
  <c r="G22" i="9" s="1"/>
  <c r="G20" i="9"/>
  <c r="K20" i="9" s="1"/>
  <c r="F66" i="9"/>
  <c r="G66" i="9" s="1"/>
  <c r="F56" i="9"/>
  <c r="G56" i="9" s="1"/>
  <c r="F42" i="9"/>
  <c r="G42" i="9" s="1"/>
  <c r="K25" i="9"/>
  <c r="F18" i="9"/>
  <c r="G18" i="9" s="1"/>
  <c r="O18" i="21"/>
  <c r="F58" i="9"/>
  <c r="G58" i="9" s="1"/>
  <c r="N58" i="9" s="1"/>
  <c r="F54" i="9"/>
  <c r="F24" i="21"/>
  <c r="F90" i="9"/>
  <c r="B21" i="26" l="1"/>
  <c r="B27" i="12"/>
  <c r="M47" i="9"/>
  <c r="S67" i="9"/>
  <c r="G88" i="9"/>
  <c r="L88" i="9" s="1"/>
  <c r="K67" i="9"/>
  <c r="H67" i="9"/>
  <c r="I67" i="9" s="1"/>
  <c r="L58" i="9"/>
  <c r="S71" i="9"/>
  <c r="J71" i="9"/>
  <c r="S47" i="9"/>
  <c r="R47" i="9"/>
  <c r="P47" i="9"/>
  <c r="J47" i="9"/>
  <c r="T47" i="9"/>
  <c r="O47" i="9"/>
  <c r="L47" i="9"/>
  <c r="R71" i="9"/>
  <c r="O71" i="9"/>
  <c r="Q71" i="9"/>
  <c r="P71" i="9"/>
  <c r="R67" i="9"/>
  <c r="M67" i="9"/>
  <c r="J67" i="9"/>
  <c r="N67" i="9"/>
  <c r="P67" i="9"/>
  <c r="O67" i="9"/>
  <c r="Q67" i="9"/>
  <c r="G31" i="9"/>
  <c r="K58" i="9"/>
  <c r="M58" i="9"/>
  <c r="G53" i="9"/>
  <c r="J53" i="9" s="1"/>
  <c r="K71" i="9"/>
  <c r="H71" i="9"/>
  <c r="I71" i="9" s="1"/>
  <c r="M71" i="9"/>
  <c r="T71" i="9"/>
  <c r="L71" i="9"/>
  <c r="O58" i="9"/>
  <c r="H58" i="9"/>
  <c r="I58" i="9" s="1"/>
  <c r="T58" i="9"/>
  <c r="Q58" i="9"/>
  <c r="S58" i="9"/>
  <c r="R58" i="9"/>
  <c r="J58" i="9"/>
  <c r="K47" i="9"/>
  <c r="N47" i="9"/>
  <c r="T67" i="9"/>
  <c r="P58" i="9"/>
  <c r="H47" i="9"/>
  <c r="I47" i="9" s="1"/>
  <c r="U10" i="21"/>
  <c r="C31" i="26"/>
  <c r="C32" i="26" s="1"/>
  <c r="C32" i="29" s="1"/>
  <c r="C61" i="12"/>
  <c r="C63" i="29"/>
  <c r="C64" i="26"/>
  <c r="C64" i="29" s="1"/>
  <c r="C78" i="29"/>
  <c r="C80" i="26"/>
  <c r="C80" i="29" s="1"/>
  <c r="C79" i="12"/>
  <c r="C80" i="12" s="1"/>
  <c r="C81" i="12" s="1"/>
  <c r="C82" i="12" s="1"/>
  <c r="C83" i="12" s="1"/>
  <c r="C28" i="12"/>
  <c r="C29" i="12" s="1"/>
  <c r="C14" i="12"/>
  <c r="L15" i="9"/>
  <c r="O76" i="9"/>
  <c r="Q72" i="9"/>
  <c r="F17" i="21"/>
  <c r="Q57" i="9"/>
  <c r="J57" i="9"/>
  <c r="H57" i="9"/>
  <c r="I57" i="9" s="1"/>
  <c r="S57" i="9"/>
  <c r="K57" i="9"/>
  <c r="R57" i="9"/>
  <c r="N57" i="9"/>
  <c r="P57" i="9"/>
  <c r="L57" i="9"/>
  <c r="G45" i="9"/>
  <c r="L45" i="9" s="1"/>
  <c r="G55" i="9"/>
  <c r="L55" i="9" s="1"/>
  <c r="G59" i="9"/>
  <c r="L59" i="9" s="1"/>
  <c r="G61" i="9"/>
  <c r="T61" i="9" s="1"/>
  <c r="L46" i="9"/>
  <c r="O46" i="9"/>
  <c r="H46" i="9"/>
  <c r="I46" i="9" s="1"/>
  <c r="Q80" i="9"/>
  <c r="J46" i="9"/>
  <c r="T46" i="9"/>
  <c r="K46" i="9"/>
  <c r="L84" i="9"/>
  <c r="S84" i="9"/>
  <c r="L76" i="9"/>
  <c r="S76" i="9"/>
  <c r="L80" i="9"/>
  <c r="S80" i="9"/>
  <c r="L72" i="9"/>
  <c r="S72" i="9"/>
  <c r="Q46" i="9"/>
  <c r="Q76" i="9"/>
  <c r="Q84" i="9"/>
  <c r="N46" i="9"/>
  <c r="O84" i="9"/>
  <c r="R46" i="9"/>
  <c r="S46" i="9"/>
  <c r="H84" i="9"/>
  <c r="I84" i="9" s="1"/>
  <c r="H80" i="9"/>
  <c r="I80" i="9" s="1"/>
  <c r="H76" i="9"/>
  <c r="I76" i="9" s="1"/>
  <c r="H72" i="9"/>
  <c r="I72" i="9" s="1"/>
  <c r="K35" i="9"/>
  <c r="H51" i="9"/>
  <c r="I51" i="9" s="1"/>
  <c r="T51" i="9"/>
  <c r="T40" i="9"/>
  <c r="Q40" i="9"/>
  <c r="G75" i="9"/>
  <c r="S75" i="9" s="1"/>
  <c r="O21" i="9"/>
  <c r="P21" i="9"/>
  <c r="S21" i="9"/>
  <c r="L28" i="9"/>
  <c r="H28" i="9"/>
  <c r="I28" i="9" s="1"/>
  <c r="R28" i="9"/>
  <c r="J20" i="9"/>
  <c r="J22" i="9"/>
  <c r="P62" i="9"/>
  <c r="P51" i="9"/>
  <c r="O44" i="9"/>
  <c r="T44" i="9"/>
  <c r="S81" i="9"/>
  <c r="K84" i="9"/>
  <c r="J84" i="9"/>
  <c r="M84" i="9"/>
  <c r="N84" i="9"/>
  <c r="R84" i="9"/>
  <c r="K80" i="9"/>
  <c r="J80" i="9"/>
  <c r="M80" i="9"/>
  <c r="N80" i="9"/>
  <c r="O80" i="9"/>
  <c r="R80" i="9"/>
  <c r="K76" i="9"/>
  <c r="J76" i="9"/>
  <c r="M76" i="9"/>
  <c r="N76" i="9"/>
  <c r="R76" i="9"/>
  <c r="K72" i="9"/>
  <c r="J72" i="9"/>
  <c r="M72" i="9"/>
  <c r="N72" i="9"/>
  <c r="O72" i="9"/>
  <c r="R72" i="9"/>
  <c r="K21" i="9"/>
  <c r="T57" i="9"/>
  <c r="O57" i="9"/>
  <c r="K51" i="9"/>
  <c r="J51" i="9"/>
  <c r="M51" i="9"/>
  <c r="N51" i="9"/>
  <c r="G34" i="9"/>
  <c r="O34" i="9" s="1"/>
  <c r="G41" i="9"/>
  <c r="T41" i="9" s="1"/>
  <c r="G65" i="9"/>
  <c r="O65" i="9" s="1"/>
  <c r="J81" i="9"/>
  <c r="L20" i="9"/>
  <c r="H20" i="9"/>
  <c r="I20" i="9" s="1"/>
  <c r="K60" i="9"/>
  <c r="S51" i="9"/>
  <c r="L51" i="9"/>
  <c r="T28" i="9"/>
  <c r="N28" i="9"/>
  <c r="M28" i="9"/>
  <c r="Q28" i="9"/>
  <c r="K28" i="9"/>
  <c r="J28" i="9"/>
  <c r="O28" i="9"/>
  <c r="S28" i="9"/>
  <c r="G36" i="9"/>
  <c r="T36" i="9" s="1"/>
  <c r="G43" i="9"/>
  <c r="S43" i="9" s="1"/>
  <c r="O73" i="9"/>
  <c r="Q73" i="9"/>
  <c r="H73" i="9"/>
  <c r="I73" i="9" s="1"/>
  <c r="M73" i="9"/>
  <c r="R73" i="9"/>
  <c r="P73" i="9"/>
  <c r="P87" i="9"/>
  <c r="Q87" i="9"/>
  <c r="S87" i="9"/>
  <c r="N87" i="9"/>
  <c r="O87" i="9"/>
  <c r="G63" i="9"/>
  <c r="P63" i="9" s="1"/>
  <c r="G52" i="9"/>
  <c r="O52" i="9" s="1"/>
  <c r="J87" i="9"/>
  <c r="J73" i="9"/>
  <c r="H86" i="9"/>
  <c r="I86" i="9" s="1"/>
  <c r="H82" i="9"/>
  <c r="H78" i="9"/>
  <c r="I78" i="9" s="1"/>
  <c r="H74" i="9"/>
  <c r="I74" i="9" s="1"/>
  <c r="H49" i="9"/>
  <c r="H27" i="9"/>
  <c r="I27" i="9" s="1"/>
  <c r="P19" i="9"/>
  <c r="P81" i="9"/>
  <c r="K81" i="9"/>
  <c r="K44" i="9"/>
  <c r="M87" i="9"/>
  <c r="N81" i="9"/>
  <c r="T81" i="9"/>
  <c r="L73" i="9"/>
  <c r="J21" i="9"/>
  <c r="N40" i="9"/>
  <c r="Q81" i="9"/>
  <c r="Q21" i="9"/>
  <c r="N21" i="9"/>
  <c r="M21" i="9"/>
  <c r="K24" i="9"/>
  <c r="L24" i="9"/>
  <c r="R24" i="9"/>
  <c r="M24" i="9"/>
  <c r="Q24" i="9"/>
  <c r="T24" i="9"/>
  <c r="J24" i="9"/>
  <c r="H24" i="9"/>
  <c r="I24" i="9" s="1"/>
  <c r="O24" i="9"/>
  <c r="P24" i="9"/>
  <c r="N24" i="9"/>
  <c r="S24" i="9"/>
  <c r="G32" i="9"/>
  <c r="J32" i="9" s="1"/>
  <c r="Q70" i="9"/>
  <c r="P70" i="9"/>
  <c r="T62" i="9"/>
  <c r="J40" i="9"/>
  <c r="O40" i="9"/>
  <c r="R40" i="9"/>
  <c r="H40" i="9"/>
  <c r="I40" i="9" s="1"/>
  <c r="P40" i="9"/>
  <c r="S40" i="9"/>
  <c r="G37" i="9"/>
  <c r="H37" i="9" s="1"/>
  <c r="I37" i="9" s="1"/>
  <c r="G50" i="9"/>
  <c r="T50" i="9" s="1"/>
  <c r="T91" i="9"/>
  <c r="T22" i="9"/>
  <c r="R62" i="9"/>
  <c r="H62" i="9"/>
  <c r="I62" i="9" s="1"/>
  <c r="H69" i="9"/>
  <c r="I69" i="9" s="1"/>
  <c r="R70" i="9"/>
  <c r="H70" i="9"/>
  <c r="I70" i="9" s="1"/>
  <c r="S86" i="9"/>
  <c r="S78" i="9"/>
  <c r="S74" i="9"/>
  <c r="S27" i="9"/>
  <c r="J27" i="9"/>
  <c r="N19" i="9"/>
  <c r="K19" i="9"/>
  <c r="T87" i="9"/>
  <c r="R15" i="9"/>
  <c r="P44" i="9"/>
  <c r="R87" i="9"/>
  <c r="L87" i="9"/>
  <c r="H87" i="9"/>
  <c r="I87" i="9" s="1"/>
  <c r="M81" i="9"/>
  <c r="L81" i="9"/>
  <c r="H81" i="9"/>
  <c r="I81" i="9" s="1"/>
  <c r="N73" i="9"/>
  <c r="S73" i="9"/>
  <c r="T73" i="9"/>
  <c r="L23" i="9"/>
  <c r="I15" i="9"/>
  <c r="K40" i="9"/>
  <c r="L40" i="9"/>
  <c r="M40" i="9"/>
  <c r="G39" i="9"/>
  <c r="K39" i="9" s="1"/>
  <c r="K73" i="9"/>
  <c r="G77" i="9"/>
  <c r="S77" i="9" s="1"/>
  <c r="G79" i="9"/>
  <c r="N79" i="9" s="1"/>
  <c r="R81" i="9"/>
  <c r="G83" i="9"/>
  <c r="G85" i="9"/>
  <c r="K87" i="9"/>
  <c r="T21" i="9"/>
  <c r="H21" i="9"/>
  <c r="I21" i="9" s="1"/>
  <c r="R21" i="9"/>
  <c r="F12" i="21"/>
  <c r="Q91" i="9"/>
  <c r="S91" i="9"/>
  <c r="S20" i="9"/>
  <c r="M20" i="9"/>
  <c r="T20" i="9"/>
  <c r="O22" i="9"/>
  <c r="S62" i="9"/>
  <c r="M62" i="9"/>
  <c r="S69" i="9"/>
  <c r="L27" i="9"/>
  <c r="M27" i="9"/>
  <c r="T27" i="9"/>
  <c r="M19" i="9"/>
  <c r="Q19" i="9"/>
  <c r="N44" i="9"/>
  <c r="M44" i="9"/>
  <c r="K23" i="9"/>
  <c r="M15" i="9"/>
  <c r="H48" i="9"/>
  <c r="I48" i="9" s="1"/>
  <c r="O48" i="9"/>
  <c r="Q48" i="9"/>
  <c r="P48" i="9"/>
  <c r="S48" i="9"/>
  <c r="M48" i="9"/>
  <c r="N48" i="9"/>
  <c r="T48" i="9"/>
  <c r="L48" i="9"/>
  <c r="K48" i="9"/>
  <c r="R48" i="9"/>
  <c r="Q17" i="9"/>
  <c r="O17" i="9"/>
  <c r="P17" i="9"/>
  <c r="H17" i="9"/>
  <c r="I17" i="9" s="1"/>
  <c r="K17" i="9"/>
  <c r="N17" i="9"/>
  <c r="M17" i="9"/>
  <c r="T17" i="9"/>
  <c r="L17" i="9"/>
  <c r="S17" i="9"/>
  <c r="R17" i="9"/>
  <c r="J48" i="9"/>
  <c r="H68" i="9"/>
  <c r="I68" i="9" s="1"/>
  <c r="O68" i="9"/>
  <c r="Q68" i="9"/>
  <c r="P68" i="9"/>
  <c r="K68" i="9"/>
  <c r="R68" i="9"/>
  <c r="T68" i="9"/>
  <c r="L68" i="9"/>
  <c r="S68" i="9"/>
  <c r="M68" i="9"/>
  <c r="N68" i="9"/>
  <c r="S38" i="9"/>
  <c r="T38" i="9"/>
  <c r="L38" i="9"/>
  <c r="O38" i="9"/>
  <c r="M38" i="9"/>
  <c r="N38" i="9"/>
  <c r="H38" i="9"/>
  <c r="I38" i="9" s="1"/>
  <c r="Q38" i="9"/>
  <c r="P38" i="9"/>
  <c r="K38" i="9"/>
  <c r="R38" i="9"/>
  <c r="S26" i="9"/>
  <c r="L26" i="9"/>
  <c r="H26" i="9"/>
  <c r="I26" i="9" s="1"/>
  <c r="K26" i="9"/>
  <c r="P26" i="9"/>
  <c r="M26" i="9"/>
  <c r="N26" i="9"/>
  <c r="T26" i="9"/>
  <c r="Q26" i="9"/>
  <c r="O26" i="9"/>
  <c r="R26" i="9"/>
  <c r="R16" i="9"/>
  <c r="Q16" i="9"/>
  <c r="P16" i="9"/>
  <c r="S16" i="9"/>
  <c r="H16" i="9"/>
  <c r="I16" i="9" s="1"/>
  <c r="T16" i="9"/>
  <c r="J16" i="9"/>
  <c r="M16" i="9"/>
  <c r="L16" i="9"/>
  <c r="N16" i="9"/>
  <c r="O16" i="9"/>
  <c r="J68" i="9"/>
  <c r="G30" i="9"/>
  <c r="S30" i="9" s="1"/>
  <c r="G54" i="9"/>
  <c r="J54" i="9" s="1"/>
  <c r="Q66" i="9"/>
  <c r="H66" i="9"/>
  <c r="I66" i="9" s="1"/>
  <c r="M66" i="9"/>
  <c r="L66" i="9"/>
  <c r="K66" i="9"/>
  <c r="N66" i="9"/>
  <c r="J66" i="9"/>
  <c r="P66" i="9"/>
  <c r="O66" i="9"/>
  <c r="R66" i="9"/>
  <c r="T66" i="9"/>
  <c r="S66" i="9"/>
  <c r="K22" i="9"/>
  <c r="R22" i="9"/>
  <c r="M22" i="9"/>
  <c r="S22" i="9"/>
  <c r="L22" i="9"/>
  <c r="N22" i="9"/>
  <c r="H60" i="9"/>
  <c r="I60" i="9" s="1"/>
  <c r="O60" i="9"/>
  <c r="Q60" i="9"/>
  <c r="M60" i="9"/>
  <c r="P60" i="9"/>
  <c r="S60" i="9"/>
  <c r="N60" i="9"/>
  <c r="T69" i="9"/>
  <c r="Q69" i="9"/>
  <c r="O69" i="9"/>
  <c r="R69" i="9"/>
  <c r="N69" i="9"/>
  <c r="O70" i="9"/>
  <c r="K70" i="9"/>
  <c r="L70" i="9"/>
  <c r="N70" i="9"/>
  <c r="R86" i="9"/>
  <c r="N86" i="9"/>
  <c r="T86" i="9"/>
  <c r="Q86" i="9"/>
  <c r="O86" i="9"/>
  <c r="R78" i="9"/>
  <c r="N78" i="9"/>
  <c r="T78" i="9"/>
  <c r="Q78" i="9"/>
  <c r="O78" i="9"/>
  <c r="R74" i="9"/>
  <c r="N74" i="9"/>
  <c r="T74" i="9"/>
  <c r="Q74" i="9"/>
  <c r="O74" i="9"/>
  <c r="AP6" i="21"/>
  <c r="AQ6" i="21"/>
  <c r="O23" i="9"/>
  <c r="P23" i="9"/>
  <c r="N23" i="9"/>
  <c r="T15" i="9"/>
  <c r="K15" i="9"/>
  <c r="J91" i="9"/>
  <c r="M18" i="9"/>
  <c r="T18" i="9"/>
  <c r="N18" i="9"/>
  <c r="P18" i="9"/>
  <c r="O18" i="9"/>
  <c r="H18" i="9"/>
  <c r="I18" i="9" s="1"/>
  <c r="Q18" i="9"/>
  <c r="J18" i="9"/>
  <c r="K18" i="9"/>
  <c r="R18" i="9"/>
  <c r="L18" i="9"/>
  <c r="S18" i="9"/>
  <c r="J42" i="9"/>
  <c r="S42" i="9"/>
  <c r="T42" i="9"/>
  <c r="H42" i="9"/>
  <c r="I42" i="9" s="1"/>
  <c r="K42" i="9"/>
  <c r="P42" i="9"/>
  <c r="O42" i="9"/>
  <c r="R42" i="9"/>
  <c r="L42" i="9"/>
  <c r="Q42" i="9"/>
  <c r="M42" i="9"/>
  <c r="N42" i="9"/>
  <c r="H56" i="9"/>
  <c r="I56" i="9" s="1"/>
  <c r="O56" i="9"/>
  <c r="T56" i="9"/>
  <c r="L56" i="9"/>
  <c r="S56" i="9"/>
  <c r="M56" i="9"/>
  <c r="N56" i="9"/>
  <c r="Q56" i="9"/>
  <c r="R56" i="9"/>
  <c r="J56" i="9"/>
  <c r="P56" i="9"/>
  <c r="K56" i="9"/>
  <c r="R20" i="9"/>
  <c r="P20" i="9"/>
  <c r="O20" i="9"/>
  <c r="Q20" i="9"/>
  <c r="N20" i="9"/>
  <c r="P22" i="9"/>
  <c r="Q22" i="9"/>
  <c r="H22" i="9"/>
  <c r="I22" i="9" s="1"/>
  <c r="R60" i="9"/>
  <c r="L60" i="9"/>
  <c r="J60" i="9"/>
  <c r="J62" i="9"/>
  <c r="L62" i="9"/>
  <c r="O62" i="9"/>
  <c r="K62" i="9"/>
  <c r="Q62" i="9"/>
  <c r="N62" i="9"/>
  <c r="P69" i="9"/>
  <c r="M69" i="9"/>
  <c r="L69" i="9"/>
  <c r="K69" i="9"/>
  <c r="S70" i="9"/>
  <c r="M70" i="9"/>
  <c r="T70" i="9"/>
  <c r="J70" i="9"/>
  <c r="P86" i="9"/>
  <c r="M86" i="9"/>
  <c r="L86" i="9"/>
  <c r="K86" i="9"/>
  <c r="P78" i="9"/>
  <c r="M78" i="9"/>
  <c r="L78" i="9"/>
  <c r="K78" i="9"/>
  <c r="P74" i="9"/>
  <c r="M74" i="9"/>
  <c r="L74" i="9"/>
  <c r="K74" i="9"/>
  <c r="R27" i="9"/>
  <c r="N27" i="9"/>
  <c r="P27" i="9"/>
  <c r="Q27" i="9"/>
  <c r="O27" i="9"/>
  <c r="T19" i="9"/>
  <c r="H19" i="9"/>
  <c r="I19" i="9" s="1"/>
  <c r="R19" i="9"/>
  <c r="S19" i="9"/>
  <c r="L19" i="9"/>
  <c r="O19" i="9"/>
  <c r="S15" i="9"/>
  <c r="Q23" i="9"/>
  <c r="M23" i="9"/>
  <c r="J44" i="9"/>
  <c r="H44" i="9"/>
  <c r="I44" i="9" s="1"/>
  <c r="Q44" i="9"/>
  <c r="L44" i="9"/>
  <c r="R44" i="9"/>
  <c r="P46" i="9"/>
  <c r="M46" i="9"/>
  <c r="T84" i="9"/>
  <c r="P84" i="9"/>
  <c r="T80" i="9"/>
  <c r="P80" i="9"/>
  <c r="T76" i="9"/>
  <c r="P76" i="9"/>
  <c r="T72" i="9"/>
  <c r="P72" i="9"/>
  <c r="R51" i="9"/>
  <c r="Q51" i="9"/>
  <c r="O51" i="9"/>
  <c r="R23" i="9"/>
  <c r="H23" i="9"/>
  <c r="I23" i="9" s="1"/>
  <c r="T23" i="9"/>
  <c r="J23" i="9"/>
  <c r="N15" i="9"/>
  <c r="O15" i="9"/>
  <c r="P15" i="9"/>
  <c r="J15" i="9"/>
  <c r="V10" i="21"/>
  <c r="AB9" i="21"/>
  <c r="AA10" i="21"/>
  <c r="W10" i="21"/>
  <c r="T10" i="21"/>
  <c r="S10" i="21"/>
  <c r="AB7" i="21"/>
  <c r="AB8" i="21"/>
  <c r="R10" i="21"/>
  <c r="Q10" i="21"/>
  <c r="P10" i="21"/>
  <c r="O10" i="21"/>
  <c r="AB6" i="21"/>
  <c r="R91" i="9"/>
  <c r="M91" i="9"/>
  <c r="L91" i="9"/>
  <c r="F13" i="21"/>
  <c r="F21" i="21"/>
  <c r="F16" i="21"/>
  <c r="F10" i="21"/>
  <c r="F8" i="21"/>
  <c r="F18" i="21"/>
  <c r="F11" i="21"/>
  <c r="F19" i="21"/>
  <c r="F9" i="21"/>
  <c r="Q89" i="9"/>
  <c r="M89" i="9"/>
  <c r="P89" i="9"/>
  <c r="O89" i="9"/>
  <c r="R89" i="9"/>
  <c r="L89" i="9"/>
  <c r="N89" i="9"/>
  <c r="S89" i="9"/>
  <c r="J89" i="9"/>
  <c r="H89" i="9"/>
  <c r="I89" i="9" s="1"/>
  <c r="K89" i="9"/>
  <c r="F20" i="21"/>
  <c r="F5" i="21"/>
  <c r="F6" i="21"/>
  <c r="F14" i="21"/>
  <c r="F22" i="21"/>
  <c r="F7" i="21"/>
  <c r="F15" i="21"/>
  <c r="F23" i="21"/>
  <c r="K91" i="9"/>
  <c r="N91" i="9"/>
  <c r="H91" i="9"/>
  <c r="I91" i="9" s="1"/>
  <c r="O91" i="9"/>
  <c r="G90" i="9"/>
  <c r="C33" i="26" l="1"/>
  <c r="C33" i="29" s="1"/>
  <c r="B22" i="26"/>
  <c r="T88" i="9"/>
  <c r="M88" i="9"/>
  <c r="P88" i="9"/>
  <c r="R88" i="9"/>
  <c r="B28" i="12"/>
  <c r="C31" i="29"/>
  <c r="O88" i="9"/>
  <c r="N88" i="9"/>
  <c r="J88" i="9"/>
  <c r="S53" i="9"/>
  <c r="S88" i="9"/>
  <c r="H88" i="9"/>
  <c r="I88" i="9" s="1"/>
  <c r="K88" i="9"/>
  <c r="Q88" i="9"/>
  <c r="O53" i="9"/>
  <c r="R53" i="9"/>
  <c r="Q53" i="9"/>
  <c r="T53" i="9"/>
  <c r="P53" i="9"/>
  <c r="H31" i="9"/>
  <c r="I31" i="9" s="1"/>
  <c r="O31" i="9"/>
  <c r="M31" i="9"/>
  <c r="S31" i="9"/>
  <c r="P31" i="9"/>
  <c r="T31" i="9"/>
  <c r="Q31" i="9"/>
  <c r="H53" i="9"/>
  <c r="I53" i="9" s="1"/>
  <c r="M53" i="9"/>
  <c r="L53" i="9"/>
  <c r="K53" i="9"/>
  <c r="N53" i="9"/>
  <c r="J31" i="9"/>
  <c r="L31" i="9"/>
  <c r="K31" i="9"/>
  <c r="R31" i="9"/>
  <c r="N31" i="9"/>
  <c r="C62" i="12"/>
  <c r="C63" i="12" s="1"/>
  <c r="C64" i="12" s="1"/>
  <c r="C66" i="26"/>
  <c r="C66" i="29" s="1"/>
  <c r="C82" i="26"/>
  <c r="C30" i="12"/>
  <c r="C31" i="12" s="1"/>
  <c r="P75" i="9"/>
  <c r="Q41" i="9"/>
  <c r="S35" i="9"/>
  <c r="R63" i="9"/>
  <c r="L35" i="9"/>
  <c r="S61" i="9"/>
  <c r="O59" i="9"/>
  <c r="N37" i="9"/>
  <c r="J37" i="9"/>
  <c r="P52" i="9"/>
  <c r="S63" i="9"/>
  <c r="H59" i="9"/>
  <c r="I59" i="9" s="1"/>
  <c r="S55" i="9"/>
  <c r="J61" i="9"/>
  <c r="P34" i="9"/>
  <c r="M36" i="9"/>
  <c r="K61" i="9"/>
  <c r="H61" i="9"/>
  <c r="I61" i="9" s="1"/>
  <c r="Q59" i="9"/>
  <c r="S59" i="9"/>
  <c r="R55" i="9"/>
  <c r="H45" i="9"/>
  <c r="I45" i="9" s="1"/>
  <c r="K75" i="9"/>
  <c r="R35" i="9"/>
  <c r="Q36" i="9"/>
  <c r="N34" i="9"/>
  <c r="T55" i="9"/>
  <c r="M55" i="9"/>
  <c r="Q55" i="9"/>
  <c r="K55" i="9"/>
  <c r="J55" i="9"/>
  <c r="N55" i="9"/>
  <c r="Q45" i="9"/>
  <c r="M45" i="9"/>
  <c r="P45" i="9"/>
  <c r="J45" i="9"/>
  <c r="R45" i="9"/>
  <c r="S45" i="9"/>
  <c r="T45" i="9"/>
  <c r="T75" i="9"/>
  <c r="J75" i="9"/>
  <c r="L63" i="9"/>
  <c r="P43" i="9"/>
  <c r="O35" i="9"/>
  <c r="N75" i="9"/>
  <c r="J34" i="9"/>
  <c r="M34" i="9"/>
  <c r="T34" i="9"/>
  <c r="H35" i="9"/>
  <c r="I35" i="9" s="1"/>
  <c r="L75" i="9"/>
  <c r="Q61" i="9"/>
  <c r="O61" i="9"/>
  <c r="M61" i="9"/>
  <c r="N61" i="9"/>
  <c r="L61" i="9"/>
  <c r="P61" i="9"/>
  <c r="R61" i="9"/>
  <c r="T59" i="9"/>
  <c r="P59" i="9"/>
  <c r="J59" i="9"/>
  <c r="N59" i="9"/>
  <c r="R59" i="9"/>
  <c r="K59" i="9"/>
  <c r="M59" i="9"/>
  <c r="O55" i="9"/>
  <c r="H55" i="9"/>
  <c r="I55" i="9" s="1"/>
  <c r="P55" i="9"/>
  <c r="K45" i="9"/>
  <c r="N45" i="9"/>
  <c r="O45" i="9"/>
  <c r="T37" i="9"/>
  <c r="L37" i="9"/>
  <c r="H63" i="9"/>
  <c r="I63" i="9" s="1"/>
  <c r="K63" i="9"/>
  <c r="T63" i="9"/>
  <c r="Q65" i="9"/>
  <c r="S36" i="9"/>
  <c r="R36" i="9"/>
  <c r="K34" i="9"/>
  <c r="M65" i="9"/>
  <c r="R34" i="9"/>
  <c r="L34" i="9"/>
  <c r="H34" i="9"/>
  <c r="I34" i="9" s="1"/>
  <c r="Q34" i="9"/>
  <c r="S34" i="9"/>
  <c r="N77" i="9"/>
  <c r="J35" i="9"/>
  <c r="N35" i="9"/>
  <c r="M35" i="9"/>
  <c r="O43" i="9"/>
  <c r="M43" i="9"/>
  <c r="P35" i="9"/>
  <c r="H65" i="9"/>
  <c r="I65" i="9" s="1"/>
  <c r="N65" i="9"/>
  <c r="R65" i="9"/>
  <c r="P65" i="9"/>
  <c r="L65" i="9"/>
  <c r="T35" i="9"/>
  <c r="Q35" i="9"/>
  <c r="J107" i="3"/>
  <c r="W107" i="3"/>
  <c r="X107" i="3"/>
  <c r="R107" i="3"/>
  <c r="N107" i="3"/>
  <c r="V107" i="3"/>
  <c r="R54" i="9"/>
  <c r="M30" i="9"/>
  <c r="O75" i="9"/>
  <c r="M75" i="9"/>
  <c r="R75" i="9"/>
  <c r="Q75" i="9"/>
  <c r="Q43" i="9"/>
  <c r="H43" i="9"/>
  <c r="I43" i="9" s="1"/>
  <c r="N36" i="9"/>
  <c r="O36" i="9"/>
  <c r="L36" i="9"/>
  <c r="H36" i="9"/>
  <c r="I36" i="9" s="1"/>
  <c r="M41" i="9"/>
  <c r="H75" i="9"/>
  <c r="I75" i="9" s="1"/>
  <c r="L41" i="9"/>
  <c r="N41" i="9"/>
  <c r="O41" i="9"/>
  <c r="S41" i="9"/>
  <c r="R41" i="9"/>
  <c r="K54" i="9"/>
  <c r="H54" i="9"/>
  <c r="I54" i="9" s="1"/>
  <c r="N30" i="9"/>
  <c r="K30" i="9"/>
  <c r="L107" i="3"/>
  <c r="N50" i="9"/>
  <c r="Q50" i="9"/>
  <c r="M52" i="9"/>
  <c r="H52" i="9"/>
  <c r="I52" i="9" s="1"/>
  <c r="J52" i="9"/>
  <c r="L52" i="9"/>
  <c r="T43" i="9"/>
  <c r="R43" i="9"/>
  <c r="L43" i="9"/>
  <c r="N43" i="9"/>
  <c r="J43" i="9"/>
  <c r="K43" i="9"/>
  <c r="K36" i="9"/>
  <c r="P36" i="9"/>
  <c r="J36" i="9"/>
  <c r="H41" i="9"/>
  <c r="I41" i="9" s="1"/>
  <c r="K41" i="9"/>
  <c r="T65" i="9"/>
  <c r="J65" i="9"/>
  <c r="S65" i="9"/>
  <c r="K65" i="9"/>
  <c r="P41" i="9"/>
  <c r="J41" i="9"/>
  <c r="Q30" i="9"/>
  <c r="J30" i="9"/>
  <c r="T30" i="9"/>
  <c r="O107" i="3"/>
  <c r="N39" i="9"/>
  <c r="H50" i="9"/>
  <c r="I50" i="9" s="1"/>
  <c r="T39" i="9"/>
  <c r="H32" i="9"/>
  <c r="I32" i="9" s="1"/>
  <c r="K32" i="9"/>
  <c r="K52" i="9"/>
  <c r="S107" i="3"/>
  <c r="R39" i="9"/>
  <c r="K77" i="9"/>
  <c r="P77" i="9"/>
  <c r="Q52" i="9"/>
  <c r="S52" i="9"/>
  <c r="N52" i="9"/>
  <c r="R52" i="9"/>
  <c r="T52" i="9"/>
  <c r="J63" i="9"/>
  <c r="M63" i="9"/>
  <c r="N63" i="9"/>
  <c r="O63" i="9"/>
  <c r="Q63" i="9"/>
  <c r="T107" i="3"/>
  <c r="M107" i="3"/>
  <c r="T85" i="9"/>
  <c r="K85" i="9"/>
  <c r="N85" i="9"/>
  <c r="P85" i="9"/>
  <c r="O85" i="9"/>
  <c r="J85" i="9"/>
  <c r="M85" i="9"/>
  <c r="H85" i="9"/>
  <c r="I85" i="9" s="1"/>
  <c r="L85" i="9"/>
  <c r="R85" i="9"/>
  <c r="S85" i="9"/>
  <c r="T83" i="9"/>
  <c r="M83" i="9"/>
  <c r="K83" i="9"/>
  <c r="P79" i="9"/>
  <c r="M79" i="9"/>
  <c r="S79" i="9"/>
  <c r="K79" i="9"/>
  <c r="J79" i="9"/>
  <c r="Q79" i="9"/>
  <c r="H79" i="9"/>
  <c r="I79" i="9" s="1"/>
  <c r="L79" i="9"/>
  <c r="R79" i="9"/>
  <c r="T79" i="9"/>
  <c r="Q83" i="9"/>
  <c r="P83" i="9"/>
  <c r="O83" i="9"/>
  <c r="L83" i="9"/>
  <c r="J50" i="9"/>
  <c r="O50" i="9"/>
  <c r="K50" i="9"/>
  <c r="L54" i="9"/>
  <c r="P54" i="9"/>
  <c r="Q54" i="9"/>
  <c r="I107" i="3"/>
  <c r="Q85" i="9"/>
  <c r="O79" i="9"/>
  <c r="O77" i="9"/>
  <c r="L77" i="9"/>
  <c r="R77" i="9"/>
  <c r="M77" i="9"/>
  <c r="H77" i="9"/>
  <c r="I77" i="9" s="1"/>
  <c r="J77" i="9"/>
  <c r="L50" i="9"/>
  <c r="M39" i="9"/>
  <c r="Q39" i="9"/>
  <c r="L39" i="9"/>
  <c r="O39" i="9"/>
  <c r="H39" i="9"/>
  <c r="I39" i="9" s="1"/>
  <c r="T77" i="9"/>
  <c r="H83" i="9"/>
  <c r="N83" i="9"/>
  <c r="S83" i="9"/>
  <c r="P39" i="9"/>
  <c r="J39" i="9"/>
  <c r="J83" i="9"/>
  <c r="R83" i="9"/>
  <c r="Q77" i="9"/>
  <c r="S50" i="9"/>
  <c r="P50" i="9"/>
  <c r="R50" i="9"/>
  <c r="M50" i="9"/>
  <c r="S39" i="9"/>
  <c r="P37" i="9"/>
  <c r="R37" i="9"/>
  <c r="M37" i="9"/>
  <c r="S37" i="9"/>
  <c r="O37" i="9"/>
  <c r="Q37" i="9"/>
  <c r="K37" i="9"/>
  <c r="U107" i="3"/>
  <c r="O54" i="9"/>
  <c r="N54" i="9"/>
  <c r="S54" i="9"/>
  <c r="M54" i="9"/>
  <c r="T54" i="9"/>
  <c r="K107" i="3"/>
  <c r="Q107" i="3"/>
  <c r="P107" i="3"/>
  <c r="O30" i="9"/>
  <c r="H30" i="9"/>
  <c r="I30" i="9" s="1"/>
  <c r="P30" i="9"/>
  <c r="R30" i="9"/>
  <c r="L30" i="9"/>
  <c r="AB10" i="21"/>
  <c r="T90" i="9"/>
  <c r="R90" i="9"/>
  <c r="Q90" i="9"/>
  <c r="J90" i="9"/>
  <c r="H90" i="9"/>
  <c r="N90" i="9"/>
  <c r="O90" i="9"/>
  <c r="L90" i="9"/>
  <c r="M90" i="9"/>
  <c r="P90" i="9"/>
  <c r="S90" i="9"/>
  <c r="K90" i="9"/>
  <c r="C82" i="29" l="1"/>
  <c r="C83" i="26"/>
  <c r="C83" i="29" s="1"/>
  <c r="B23" i="26"/>
  <c r="B29" i="12"/>
  <c r="B30" i="12" s="1"/>
  <c r="B31" i="12" s="1"/>
  <c r="B32" i="12" s="1"/>
  <c r="B33" i="12" s="1"/>
  <c r="B34" i="12" s="1"/>
  <c r="B35" i="12" s="1"/>
  <c r="B36" i="12" s="1"/>
  <c r="B37" i="12" s="1"/>
  <c r="B38" i="12" s="1"/>
  <c r="B39" i="12" s="1"/>
  <c r="B40" i="12" s="1"/>
  <c r="B41" i="12" s="1"/>
  <c r="C65" i="12"/>
  <c r="C66" i="12" s="1"/>
  <c r="C32" i="12"/>
  <c r="C33" i="12" s="1"/>
  <c r="K107" i="9"/>
  <c r="N107" i="9"/>
  <c r="J107" i="9"/>
  <c r="R107" i="9"/>
  <c r="M107" i="9"/>
  <c r="Q107" i="9"/>
  <c r="S107" i="9"/>
  <c r="T107" i="9"/>
  <c r="P107" i="9"/>
  <c r="L107" i="9"/>
  <c r="O107" i="9"/>
  <c r="I90" i="9"/>
  <c r="I107" i="9" s="1"/>
  <c r="H107" i="9"/>
  <c r="B24" i="26" l="1"/>
  <c r="B26" i="26"/>
  <c r="B28" i="26" s="1"/>
  <c r="B42" i="12"/>
  <c r="B43" i="12" s="1"/>
  <c r="B44" i="12" s="1"/>
  <c r="B45" i="12" s="1"/>
  <c r="B46" i="12" s="1"/>
  <c r="B47" i="12" s="1"/>
  <c r="B48" i="12" s="1"/>
  <c r="B49" i="12" s="1"/>
  <c r="B50" i="12" s="1"/>
  <c r="B51" i="12" s="1"/>
  <c r="B52" i="12" s="1"/>
  <c r="B53" i="12" s="1"/>
  <c r="B54" i="12" s="1"/>
  <c r="B55" i="12" s="1"/>
  <c r="B56" i="12" s="1"/>
  <c r="B57" i="12" s="1"/>
  <c r="G107" i="9"/>
  <c r="B29" i="26" l="1"/>
  <c r="B58" i="12"/>
  <c r="B59" i="12" s="1"/>
  <c r="B60" i="12" s="1"/>
  <c r="B61" i="12" s="1"/>
  <c r="B62" i="12" s="1"/>
  <c r="B63" i="12" s="1"/>
  <c r="B64" i="12" s="1"/>
  <c r="B65" i="12" s="1"/>
  <c r="B66" i="12" s="1"/>
  <c r="B67" i="12" s="1"/>
  <c r="B68" i="12" s="1"/>
  <c r="B69" i="12" s="1"/>
  <c r="B70" i="12" s="1"/>
  <c r="B71" i="12" s="1"/>
  <c r="B72" i="12" s="1"/>
  <c r="B73" i="12" s="1"/>
  <c r="B30" i="26" l="1"/>
  <c r="B74" i="12"/>
  <c r="B75" i="12" s="1"/>
  <c r="B76" i="12" s="1"/>
  <c r="B77" i="12" s="1"/>
  <c r="B78" i="12" s="1"/>
  <c r="B79" i="12" s="1"/>
  <c r="B80" i="12" s="1"/>
  <c r="B81" i="12" s="1"/>
  <c r="B82" i="12" s="1"/>
  <c r="B83" i="12" s="1"/>
  <c r="B84" i="12" s="1"/>
  <c r="B85" i="12" s="1"/>
  <c r="B86" i="12" s="1"/>
  <c r="B87" i="12" s="1"/>
  <c r="B88" i="12" s="1"/>
  <c r="B89" i="12" s="1"/>
  <c r="B90" i="12" s="1"/>
  <c r="B91" i="12" s="1"/>
  <c r="B31" i="26" l="1"/>
  <c r="B32" i="26" l="1"/>
  <c r="B33" i="26" l="1"/>
  <c r="B34" i="26" s="1"/>
  <c r="B35" i="26" l="1"/>
  <c r="B40" i="26"/>
  <c r="B43" i="26" l="1"/>
  <c r="B50" i="26"/>
  <c r="B41" i="26"/>
  <c r="B52" i="26" s="1"/>
  <c r="B57" i="26" s="1"/>
  <c r="B58" i="26" l="1"/>
  <c r="B59" i="26" l="1"/>
  <c r="B62" i="26" l="1"/>
  <c r="B63" i="26" l="1"/>
  <c r="B64" i="26" l="1"/>
  <c r="B66" i="26" l="1"/>
  <c r="B67" i="26" l="1"/>
  <c r="B68" i="26" l="1"/>
  <c r="B69" i="26" l="1"/>
  <c r="B70" i="26" l="1"/>
  <c r="B74" i="26" l="1"/>
  <c r="B77" i="26" l="1"/>
  <c r="B78" i="26" l="1"/>
  <c r="B80" i="26" l="1"/>
  <c r="B82" i="26" l="1"/>
  <c r="B83" i="26" s="1"/>
  <c r="B86" i="26" l="1"/>
  <c r="B87" i="26" l="1"/>
  <c r="B88" i="26" l="1"/>
</calcChain>
</file>

<file path=xl/comments1.xml><?xml version="1.0" encoding="utf-8"?>
<comments xmlns="http://schemas.openxmlformats.org/spreadsheetml/2006/main">
  <authors>
    <author>Nguyen Thanh Hung</author>
  </authors>
  <commentList>
    <comment ref="L88" authorId="0" shapeId="0">
      <text>
        <r>
          <rPr>
            <b/>
            <sz val="9"/>
            <color indexed="81"/>
            <rFont val="Tahoma"/>
            <family val="2"/>
          </rPr>
          <t>Nguyen Thanh Hung:</t>
        </r>
        <r>
          <rPr>
            <sz val="9"/>
            <color indexed="81"/>
            <rFont val="Tahoma"/>
            <family val="2"/>
          </rPr>
          <t xml:space="preserve">
Nâng trước hạn</t>
        </r>
      </text>
    </comment>
  </commentList>
</comments>
</file>

<file path=xl/sharedStrings.xml><?xml version="1.0" encoding="utf-8"?>
<sst xmlns="http://schemas.openxmlformats.org/spreadsheetml/2006/main" count="3309" uniqueCount="1414">
  <si>
    <t>TT</t>
  </si>
  <si>
    <t>Mã CC</t>
  </si>
  <si>
    <t>Họ và tên</t>
  </si>
  <si>
    <t>Nữ</t>
  </si>
  <si>
    <t>Chức vụ</t>
  </si>
  <si>
    <t>Năm sinh</t>
  </si>
  <si>
    <t>Tôn giáo</t>
  </si>
  <si>
    <t>Gia đình xuất thân</t>
  </si>
  <si>
    <t>Nơi sinh</t>
  </si>
  <si>
    <t>Quê quán</t>
  </si>
  <si>
    <t>Chỗ ở hiện nay</t>
  </si>
  <si>
    <t>Ngày</t>
  </si>
  <si>
    <t>Văn hóa</t>
  </si>
  <si>
    <t>Lý luận chinh trị</t>
  </si>
  <si>
    <t>QLGD</t>
  </si>
  <si>
    <t>Nâng lương gần nhất</t>
  </si>
  <si>
    <t>Nâng lương kế tiếp</t>
  </si>
  <si>
    <t>CMND</t>
  </si>
  <si>
    <t>Tin học</t>
  </si>
  <si>
    <t>Ghi chú</t>
  </si>
  <si>
    <t>Vào ngành</t>
  </si>
  <si>
    <t>Có mặt tại cơ quan hiện nay</t>
  </si>
  <si>
    <t>Hết tập sự</t>
  </si>
  <si>
    <t>Vào Đảng</t>
  </si>
  <si>
    <t>Vào Đoàn</t>
  </si>
  <si>
    <t>Công đoàn</t>
  </si>
  <si>
    <t xml:space="preserve">Số </t>
  </si>
  <si>
    <t>Ngày cấp</t>
  </si>
  <si>
    <t>Số thẻ</t>
  </si>
  <si>
    <t>Ngày tháng</t>
  </si>
  <si>
    <t>Năm</t>
  </si>
  <si>
    <t>Mã ngạch</t>
  </si>
  <si>
    <t>Nhóm ngạch</t>
  </si>
  <si>
    <t>Bậc</t>
  </si>
  <si>
    <t>H.số</t>
  </si>
  <si>
    <t>Hệ số</t>
  </si>
  <si>
    <t>HT</t>
  </si>
  <si>
    <t>Nông dân</t>
  </si>
  <si>
    <t>PHT</t>
  </si>
  <si>
    <t>GV</t>
  </si>
  <si>
    <t>Nguyễn Thị Phương</t>
  </si>
  <si>
    <t>Cộng</t>
  </si>
  <si>
    <t>Ngày tháng năm sinh</t>
  </si>
  <si>
    <t>Nguyễn Thanh Hùng</t>
  </si>
  <si>
    <t>Nguyễn Thanh Tùng</t>
  </si>
  <si>
    <t>Số năm thâm niên</t>
  </si>
  <si>
    <t>Số tháng thâm niên</t>
  </si>
  <si>
    <t>Tháng sinh</t>
  </si>
  <si>
    <t>Năm nghỉ hưu</t>
  </si>
  <si>
    <t>Ngày tháng tính PCTNNG</t>
  </si>
  <si>
    <t>Mức % thâm niên tính đến</t>
  </si>
  <si>
    <t>SC/14</t>
  </si>
  <si>
    <t>Lê Thị Nhung</t>
  </si>
  <si>
    <t>Nam</t>
  </si>
  <si>
    <t>Trình độ</t>
  </si>
  <si>
    <t>Chuyên môn 1</t>
  </si>
  <si>
    <t>Chuyên môn 2</t>
  </si>
  <si>
    <t>A/04/Giỏi</t>
  </si>
  <si>
    <t>Mới vào Ngành</t>
  </si>
  <si>
    <t>Ngạch</t>
  </si>
  <si>
    <t>Ngày hưởng</t>
  </si>
  <si>
    <t>Xếp lương</t>
  </si>
  <si>
    <t>Lê Thị Bích Thy</t>
  </si>
  <si>
    <t>Phạm Thị Ngọc Thủy</t>
  </si>
  <si>
    <t>Bùi Phú Lộc</t>
  </si>
  <si>
    <t>Nguyễn Thị Định</t>
  </si>
  <si>
    <t>Trương Ngọc Phương</t>
  </si>
  <si>
    <t>Lê Văn Thắng</t>
  </si>
  <si>
    <t>Võ Minh Triết</t>
  </si>
  <si>
    <t>Dương Thanh Phong</t>
  </si>
  <si>
    <t>Nguyễn Thái Bình</t>
  </si>
  <si>
    <t>Bùi Thông Thái</t>
  </si>
  <si>
    <t>Phạm Thị Thanh Loan</t>
  </si>
  <si>
    <t>Đỗ Viết Hùng</t>
  </si>
  <si>
    <t>Huỳnh Thanh Sơn</t>
  </si>
  <si>
    <t>Trần Khắc Cường</t>
  </si>
  <si>
    <t>Phạm Thị Ba</t>
  </si>
  <si>
    <t>Trần Thiện Hoàng Sự</t>
  </si>
  <si>
    <t>Trần Thị Hiên</t>
  </si>
  <si>
    <t>Thiều Thị Kim Tuyến</t>
  </si>
  <si>
    <t>Trịnh Công Vĩnh</t>
  </si>
  <si>
    <t>Trần Thị Kim Hương</t>
  </si>
  <si>
    <t>Nguyễn Thị Bạch Cúc</t>
  </si>
  <si>
    <t>Lê Thị Tính</t>
  </si>
  <si>
    <t>Huỳnh Thị Lang Chi</t>
  </si>
  <si>
    <t>Châu Thị Huỳnh Mai</t>
  </si>
  <si>
    <t>Đoàn Thị Viên An</t>
  </si>
  <si>
    <t>Nguyễn Thị Đầm</t>
  </si>
  <si>
    <t>Trần Thị Thanh Tiền</t>
  </si>
  <si>
    <t>Võ Trọng Phê</t>
  </si>
  <si>
    <t>Phạm Thị Hồng</t>
  </si>
  <si>
    <t>Lê Thị Bích Ngọc</t>
  </si>
  <si>
    <t>Nguyễn Thị Thùy Linh</t>
  </si>
  <si>
    <t>Trịnh Xuân Văn</t>
  </si>
  <si>
    <t>Trần Thị Mành</t>
  </si>
  <si>
    <t>Cao Thị Uyên Thanh</t>
  </si>
  <si>
    <t>Lê Văn Có</t>
  </si>
  <si>
    <t>Lê Văn Thân</t>
  </si>
  <si>
    <t>Nguyễn Thị Kim Út</t>
  </si>
  <si>
    <t>Huỳnh Thị Bích Vân</t>
  </si>
  <si>
    <t>Trần Thị Sẫm</t>
  </si>
  <si>
    <t>Nguyễn Thanh Hiệp</t>
  </si>
  <si>
    <t>Cao Thanh Phong</t>
  </si>
  <si>
    <t>Bùi Thị Huỳnh Hương</t>
  </si>
  <si>
    <t>Lê Thị Kim Thảo</t>
  </si>
  <si>
    <t>Đoàn Tô Ngọc Hương</t>
  </si>
  <si>
    <t>Châu Trần Tân Quốc</t>
  </si>
  <si>
    <t>Lê Nguyên Khiêm</t>
  </si>
  <si>
    <t>Trịnh Thị Thanh Trúc</t>
  </si>
  <si>
    <t>Trương Thị Thiền</t>
  </si>
  <si>
    <t>Huỳnh Văn Phước</t>
  </si>
  <si>
    <t>Nguyễn Thị Yến Nhi</t>
  </si>
  <si>
    <t>Đoàn Thị Ghi</t>
  </si>
  <si>
    <t>Tiêu Thanh Nam</t>
  </si>
  <si>
    <t>Dương Bình Trọng</t>
  </si>
  <si>
    <t>Võ Thanh Cần</t>
  </si>
  <si>
    <t>Lê Hoàng Sơn</t>
  </si>
  <si>
    <t>Huỳnh Thảo Bích</t>
  </si>
  <si>
    <t>Phan Thị Anh Kim</t>
  </si>
  <si>
    <t>Phan Công Trình</t>
  </si>
  <si>
    <t>Phạm Tấn Phong</t>
  </si>
  <si>
    <t>Lê Thị Hương Trang</t>
  </si>
  <si>
    <t>Trần Thiện Ý</t>
  </si>
  <si>
    <t>Trần Thị Ngọc Hiền</t>
  </si>
  <si>
    <t>Nguyễn Thị Phương Mai</t>
  </si>
  <si>
    <t>Nguyễn Hoàng Tuấn</t>
  </si>
  <si>
    <t>Nguyễn Thị Kim Nghe</t>
  </si>
  <si>
    <t>Nguyễn Thị Kim Cương</t>
  </si>
  <si>
    <t>Tô Thị Kiều</t>
  </si>
  <si>
    <t>Hồ Thị Cẩm Thu</t>
  </si>
  <si>
    <t>BD KTQP</t>
  </si>
  <si>
    <t>A/03/Giỏi</t>
  </si>
  <si>
    <t>31.026 784</t>
  </si>
  <si>
    <t>PTTH/99/TB</t>
  </si>
  <si>
    <t>A/08/Khá</t>
  </si>
  <si>
    <t>CN/10/Khá</t>
  </si>
  <si>
    <t>CC/2009/Giỏi</t>
  </si>
  <si>
    <t>A/07/Khá</t>
  </si>
  <si>
    <t>CN/06/Khá</t>
  </si>
  <si>
    <t>A/Anh/13/Khá</t>
  </si>
  <si>
    <t>CĐ3/Sinh-KTNN/05/Khá</t>
  </si>
  <si>
    <t>31.047 721</t>
  </si>
  <si>
    <t>PTTH/97/TB</t>
  </si>
  <si>
    <t>ĐHTX/Hóa/07/Khá</t>
  </si>
  <si>
    <t>B/Anh/08/TB</t>
  </si>
  <si>
    <t>A/05/Khá</t>
  </si>
  <si>
    <t>31.031 684</t>
  </si>
  <si>
    <t>CN/10/Giỏi</t>
  </si>
  <si>
    <t>A/08/Giỏi</t>
  </si>
  <si>
    <t>TC/05/TB</t>
  </si>
  <si>
    <t>PTTH/82/TB</t>
  </si>
  <si>
    <t>CĐ2/Hóa-Sinh/84/TB</t>
  </si>
  <si>
    <t>CĐ3/Sinh/96/TB</t>
  </si>
  <si>
    <t>Chuyên môn 3</t>
  </si>
  <si>
    <t>ĐHTX/Sinh/03/Khá</t>
  </si>
  <si>
    <t>31.020 544</t>
  </si>
  <si>
    <t>A/06/TB</t>
  </si>
  <si>
    <t>CN/15/Khá</t>
  </si>
  <si>
    <t>31.038 081</t>
  </si>
  <si>
    <t>31.054 652</t>
  </si>
  <si>
    <t>A/Pháp/10/Khá</t>
  </si>
  <si>
    <t>Ngoại ngữ 2</t>
  </si>
  <si>
    <t>Ngoại ngữ 1</t>
  </si>
  <si>
    <t>B/Anh/95/TB</t>
  </si>
  <si>
    <t>Ngoại ngữ 3</t>
  </si>
  <si>
    <t>Ngoại ngữ 4</t>
  </si>
  <si>
    <t>A2/Pháp/16</t>
  </si>
  <si>
    <t>B2/Anh/13</t>
  </si>
  <si>
    <t>PTTH/93/Khá</t>
  </si>
  <si>
    <t>CĐ3/Anh/96/Giỏi</t>
  </si>
  <si>
    <t>ĐHTC/Anh/02/Khá</t>
  </si>
  <si>
    <t>CĐ3/Hóa-Sinh/04/Khá</t>
  </si>
  <si>
    <t>ĐHTX/Hóa/08/Khá</t>
  </si>
  <si>
    <t>B1/Anh/14</t>
  </si>
  <si>
    <t>SC/15</t>
  </si>
  <si>
    <t>PTTH/99/Khá</t>
  </si>
  <si>
    <t>QLGD/15/Khá</t>
  </si>
  <si>
    <t>31.040 611</t>
  </si>
  <si>
    <t>31.038 083</t>
  </si>
  <si>
    <t>ĐHTC/KTCN/13/Khá</t>
  </si>
  <si>
    <t>ĐHTX/GDCT/12/Khá</t>
  </si>
  <si>
    <t>CN/15/TB</t>
  </si>
  <si>
    <t>PTTH/94/TB</t>
  </si>
  <si>
    <t>31.047 726</t>
  </si>
  <si>
    <t>PTTH/03/TB</t>
  </si>
  <si>
    <t>TrC/KTNS/05/Giỏi</t>
  </si>
  <si>
    <t>B/Anh/11/TB</t>
  </si>
  <si>
    <t>PTTH/98/TB</t>
  </si>
  <si>
    <t>CĐ3/Toán-Tin/01/TB</t>
  </si>
  <si>
    <t>ĐHTX/Toán/07/Khá</t>
  </si>
  <si>
    <t>A/00/Khá</t>
  </si>
  <si>
    <t>CN/07/Khá</t>
  </si>
  <si>
    <t>31.038 079</t>
  </si>
  <si>
    <t>PTTH/06/Khá</t>
  </si>
  <si>
    <t>CĐ3/Toán-Tin/09/TB</t>
  </si>
  <si>
    <t>ĐHTX/Toán/14/Khá</t>
  </si>
  <si>
    <t>B/Anh/09/TB</t>
  </si>
  <si>
    <t>A/09/Khá</t>
  </si>
  <si>
    <t>CC/13/Giỏi</t>
  </si>
  <si>
    <t>31.049 783</t>
  </si>
  <si>
    <t>PTTH/04/TB</t>
  </si>
  <si>
    <t>CC/12/Khá</t>
  </si>
  <si>
    <t>A/07/Giỏi</t>
  </si>
  <si>
    <t>A/Anh/09/Khá</t>
  </si>
  <si>
    <t>CĐ3/Sử-Địa/07/Khá</t>
  </si>
  <si>
    <t>ĐHTX/Sử/11/Khá</t>
  </si>
  <si>
    <t>31.045 208</t>
  </si>
  <si>
    <t>Phạm Thị Thoa</t>
  </si>
  <si>
    <t>CĐ3/Văn-GDCD/99/TB</t>
  </si>
  <si>
    <t>A/08/TB</t>
  </si>
  <si>
    <t>31.038 078</t>
  </si>
  <si>
    <t>A/09/TB</t>
  </si>
  <si>
    <t>CN/11/Khá</t>
  </si>
  <si>
    <t>CĐ3/Toán-KTCN/89/TB</t>
  </si>
  <si>
    <t>ĐHTX/Toán/99/TB</t>
  </si>
  <si>
    <t>31.033 978</t>
  </si>
  <si>
    <t>CC/09/Giỏi</t>
  </si>
  <si>
    <t>CĐ3/Hóa-Địa/86/TB</t>
  </si>
  <si>
    <t>ĐHTX/Hóa/04/Khá</t>
  </si>
  <si>
    <t>ĐHTX/Địa/99/TB</t>
  </si>
  <si>
    <t>31.026 220</t>
  </si>
  <si>
    <t>CĐ3/Toán-Tin/03/Khá</t>
  </si>
  <si>
    <t>CN/05/Khá</t>
  </si>
  <si>
    <t>31.040 609</t>
  </si>
  <si>
    <t>PTTH/07/TB</t>
  </si>
  <si>
    <t>ĐHCQ/Tin/12/Khá</t>
  </si>
  <si>
    <t>CĐ3/TD/00/Khá</t>
  </si>
  <si>
    <t>ĐHCT/TD/09/Khá</t>
  </si>
  <si>
    <t>31.026 216</t>
  </si>
  <si>
    <t>CC/09/Khá</t>
  </si>
  <si>
    <t>A/Anh/07/TB</t>
  </si>
  <si>
    <t>NLQLTC/09</t>
  </si>
  <si>
    <t>ĐHTX/Toán/99/Khá</t>
  </si>
  <si>
    <t>31.026 868</t>
  </si>
  <si>
    <t>CĐ3/Văn-Sử/01/TB</t>
  </si>
  <si>
    <t>A/04/Khá</t>
  </si>
  <si>
    <t>CN/09/TB</t>
  </si>
  <si>
    <t>31.030 479</t>
  </si>
  <si>
    <t>CĐ3/Nhạc/02/Khá</t>
  </si>
  <si>
    <t>B/Anh/15/TB</t>
  </si>
  <si>
    <t>ĐHTC/Nhạc/16/Khá</t>
  </si>
  <si>
    <t>A/06/Giỏi</t>
  </si>
  <si>
    <t>31.031 055</t>
  </si>
  <si>
    <t>PTTH/84/TB</t>
  </si>
  <si>
    <t>CĐ3/Văn-Sử/04/Giỏi</t>
  </si>
  <si>
    <t>31.035 124</t>
  </si>
  <si>
    <t>PTTH/01/TB</t>
  </si>
  <si>
    <t>PTTH/00/TB</t>
  </si>
  <si>
    <t>CN/06/TB</t>
  </si>
  <si>
    <t>BTCB/12/TB</t>
  </si>
  <si>
    <t>SC/14/Khá</t>
  </si>
  <si>
    <t>QLPT/14/Khá</t>
  </si>
  <si>
    <t>31.037 816</t>
  </si>
  <si>
    <t>CĐ3/Văn-Sử/05/Giỏi</t>
  </si>
  <si>
    <t>SC/16</t>
  </si>
  <si>
    <t>CC/14/Giỏi</t>
  </si>
  <si>
    <t>31.038 051</t>
  </si>
  <si>
    <t>PTTH/02/TB</t>
  </si>
  <si>
    <t>CC/13/Khá</t>
  </si>
  <si>
    <t>ĐHCQ/Văn/04/TB</t>
  </si>
  <si>
    <t>CĐ3/Văn/98/TB</t>
  </si>
  <si>
    <t>CC/08/Giỏi</t>
  </si>
  <si>
    <t>31.016 063</t>
  </si>
  <si>
    <t>31.049 661</t>
  </si>
  <si>
    <t>31.031 046</t>
  </si>
  <si>
    <t>PTTH/85/TB</t>
  </si>
  <si>
    <t>CĐ3/Văn-KTPT/89/TB</t>
  </si>
  <si>
    <t>31.002 782</t>
  </si>
  <si>
    <t>CĐ3/Văn-KTPT/88/TB</t>
  </si>
  <si>
    <t>ĐHTX/Văn/99/TB</t>
  </si>
  <si>
    <t>BTTH/85</t>
  </si>
  <si>
    <t>31.031 054</t>
  </si>
  <si>
    <t>31.045 196</t>
  </si>
  <si>
    <t>PTTH/86/TB</t>
  </si>
  <si>
    <t>KTPV/05/Khá</t>
  </si>
  <si>
    <t>CĐ2/Văn-KTPT/89/TB</t>
  </si>
  <si>
    <t>ĐHTX/Văn/02/TB</t>
  </si>
  <si>
    <t>31.035 132</t>
  </si>
  <si>
    <t>CĐ2/Lý-KTPT/87/TB</t>
  </si>
  <si>
    <t>Điều Hòa-Định Tường</t>
  </si>
  <si>
    <t>QLPT/99/Khá</t>
  </si>
  <si>
    <t>TC/01/Khá</t>
  </si>
  <si>
    <t>KĐCL/10</t>
  </si>
  <si>
    <t>NLCLPT/13</t>
  </si>
  <si>
    <t>31.014 905</t>
  </si>
  <si>
    <t>QLSREM/09</t>
  </si>
  <si>
    <t>Mỹ Đức-An Giang</t>
  </si>
  <si>
    <t>Vĩnh Mỹ-Châu Đốc</t>
  </si>
  <si>
    <t>Bình Mỹ-Châu Phú</t>
  </si>
  <si>
    <t>PTTH/96/TB</t>
  </si>
  <si>
    <t>B/Anh/13/Khá</t>
  </si>
  <si>
    <t>NC đàn organ/05</t>
  </si>
  <si>
    <t>31.054 653</t>
  </si>
  <si>
    <t>31.020 543</t>
  </si>
  <si>
    <t>31.054 651</t>
  </si>
  <si>
    <t>Cao đài</t>
  </si>
  <si>
    <t>31.015 016</t>
  </si>
  <si>
    <t>TC/12/Khá</t>
  </si>
  <si>
    <t>Vĩnh Tế-An Giang</t>
  </si>
  <si>
    <t>Tiên Phong-Duy Tiên-Hà Nam</t>
  </si>
  <si>
    <t>Ngọc Hiển-Cà Mau</t>
  </si>
  <si>
    <t>Bình Long-Châu Phú</t>
  </si>
  <si>
    <t>Vĩnh Thạnh Trung-Châu Phú</t>
  </si>
  <si>
    <t>A/Anh/06/TB</t>
  </si>
  <si>
    <t>Long Kiến-Chợ Mới</t>
  </si>
  <si>
    <t>Yên Phong-Yên Định-Thanh Hóa</t>
  </si>
  <si>
    <t>Bình Chánh-Châu Phú</t>
  </si>
  <si>
    <t>ĐHTX/Văn/00/TB</t>
  </si>
  <si>
    <t>Nam Giang-Thọ Xuân-Thanh Hóa</t>
  </si>
  <si>
    <t>ĐHCT/TD/08/Khá</t>
  </si>
  <si>
    <t>Cái Dầu-Châu Phú</t>
  </si>
  <si>
    <t>Mỹ Đức-Châu Phú</t>
  </si>
  <si>
    <t>Châu Phú B-Châu Đốc</t>
  </si>
  <si>
    <t>Mỹ Phú-Châu Phú</t>
  </si>
  <si>
    <t>Thanh An-Thanh Chương-Nghệ An</t>
  </si>
  <si>
    <t>Thạnh Mỹ Tây-Châu Phú</t>
  </si>
  <si>
    <t>An Phú-Tịnh Biên</t>
  </si>
  <si>
    <t>Long An-Tân Châu</t>
  </si>
  <si>
    <t>CĐ3/Văn-KTPT/90/TB</t>
  </si>
  <si>
    <t>CĐCT/Văn/96/TB</t>
  </si>
  <si>
    <t>Kiến An-Chợ Mới</t>
  </si>
  <si>
    <t>PTTH/83/TB</t>
  </si>
  <si>
    <t>CĐ3/Sử-GDCD/88/TB</t>
  </si>
  <si>
    <t>Vĩnh Trường-An Phú</t>
  </si>
  <si>
    <t>A/10/TB</t>
  </si>
  <si>
    <t>CĐ3/Sử-Địa/10/Khá</t>
  </si>
  <si>
    <t>ĐHTX/Sử/02/TB</t>
  </si>
  <si>
    <t>B/Anh/11/Khá</t>
  </si>
  <si>
    <t>A/10/Giỏi</t>
  </si>
  <si>
    <t>PTTH/06/TB</t>
  </si>
  <si>
    <t>ĐHCQ/Địa/12/Khá</t>
  </si>
  <si>
    <t>CN/05/Giỏi</t>
  </si>
  <si>
    <t>Trần Thị Ngọc Giàu</t>
  </si>
  <si>
    <t>ĐHTX/Văn/11/TB</t>
  </si>
  <si>
    <t>Vĩnh Thạnh Trung-An Giang</t>
  </si>
  <si>
    <t>PTTH/89/TB</t>
  </si>
  <si>
    <t>CĐ3/Anh/93/TB</t>
  </si>
  <si>
    <t>ĐHTC/Anh/04/Khá</t>
  </si>
  <si>
    <t>CĐ3/Anh/99/TB</t>
  </si>
  <si>
    <t>Bình Long-An Giang</t>
  </si>
  <si>
    <t>ĐHTX/Anh/08/Khá</t>
  </si>
  <si>
    <t>PTTH/95/KXL</t>
  </si>
  <si>
    <t>Phật</t>
  </si>
  <si>
    <t>Cái Dầu-Châu Phú-AG</t>
  </si>
  <si>
    <t>3,Vĩnh Phúc, Cái Dầu</t>
  </si>
  <si>
    <t>TrC KTNN/01/TB</t>
  </si>
  <si>
    <t>Hết tập sự (Tuyển dụng-Bổ nhiệm)</t>
  </si>
  <si>
    <t>C</t>
  </si>
  <si>
    <t>1/7</t>
  </si>
  <si>
    <t>Số sổ BHXH</t>
  </si>
  <si>
    <t>Bần nông</t>
  </si>
  <si>
    <t>282/0 Vĩnh Phú-VTT</t>
  </si>
  <si>
    <t>Hòa Hảo</t>
  </si>
  <si>
    <t>Vĩnh Hưng-VTT</t>
  </si>
  <si>
    <t>1/12</t>
  </si>
  <si>
    <t>x</t>
  </si>
  <si>
    <t>Tân Hòa-An Giang</t>
  </si>
  <si>
    <t>Tân Hòa-Phú Tân</t>
  </si>
  <si>
    <t>181/4 Hậu Giang I, Tân Hòa</t>
  </si>
  <si>
    <t>ĐHCQ/Lý/10/TB</t>
  </si>
  <si>
    <t>B/Anh/TB</t>
  </si>
  <si>
    <t>T.Bị/14/Giỏi</t>
  </si>
  <si>
    <t>1/9</t>
  </si>
  <si>
    <t>A1</t>
  </si>
  <si>
    <t>Tiểu thương</t>
  </si>
  <si>
    <t>82/5 Bình Chánh-Bình Long</t>
  </si>
  <si>
    <t>15a.201</t>
  </si>
  <si>
    <t>Xuân Sơn-Nghệ An</t>
  </si>
  <si>
    <t>Xuân Sơn-Đô Lương-Nghệ An</t>
  </si>
  <si>
    <t>Bình Hưng-Bình Long</t>
  </si>
  <si>
    <t>TCCQ Dược/05/Khá</t>
  </si>
  <si>
    <t>A/06/Khá</t>
  </si>
  <si>
    <t>Mỹ Phú-AG</t>
  </si>
  <si>
    <t>BTCS/05/TB</t>
  </si>
  <si>
    <t>CNV</t>
  </si>
  <si>
    <t>1/11</t>
  </si>
  <si>
    <t>198/5 Bình Hưng I, Bình Mỹ</t>
  </si>
  <si>
    <t>QLTHCS/09/Khá</t>
  </si>
  <si>
    <t>1/10</t>
  </si>
  <si>
    <t>15a.202</t>
  </si>
  <si>
    <t>203/7 Vĩnh Phú-VTT</t>
  </si>
  <si>
    <t>Vĩnh Xương-An Giang</t>
  </si>
  <si>
    <t>Bình Mỹ-An Giang</t>
  </si>
  <si>
    <t>Vĩnh Quới-VTT</t>
  </si>
  <si>
    <t>665/19 Bình Hưng I-Bình Mỹ</t>
  </si>
  <si>
    <t>703/28 Chánh Hưng-Bình Long</t>
  </si>
  <si>
    <t>QLTHCS/05/Khá</t>
  </si>
  <si>
    <t>Chuyển xếp loại (xếp ngạch-nâng ngạch)gần nhất</t>
  </si>
  <si>
    <t>Thanh An-Nghệ An</t>
  </si>
  <si>
    <t>566/2 Vĩnh Lộc-Cái Dầu</t>
  </si>
  <si>
    <t>Bình Chánh-Bình Long</t>
  </si>
  <si>
    <t>Đào Hữu Cảnh-AG</t>
  </si>
  <si>
    <t>17 Vĩnh Hưng-VTT</t>
  </si>
  <si>
    <t>251/1 Vĩnh Lộc-Cái Dầu</t>
  </si>
  <si>
    <t>BTTH/03/TB</t>
  </si>
  <si>
    <t>CĐ2/Văn-KTPT/83/TB</t>
  </si>
  <si>
    <t>THSP3/80</t>
  </si>
  <si>
    <t>95/3 Vĩnh Hưng-VTT</t>
  </si>
  <si>
    <t>Cô Tô-An Giang</t>
  </si>
  <si>
    <t>Cô Tô-Tri Tôn</t>
  </si>
  <si>
    <t>Vĩnh Phú-VTT</t>
  </si>
  <si>
    <t>1/6</t>
  </si>
  <si>
    <t>Trí thức</t>
  </si>
  <si>
    <t>Kiến An-An Giang</t>
  </si>
  <si>
    <t>19 Bình Thành-Bình Mỹ</t>
  </si>
  <si>
    <t>Vĩnh Trường-An Giang</t>
  </si>
  <si>
    <t>PTTH/05/TB</t>
  </si>
  <si>
    <t>Nam Giang-Thanh Hóa</t>
  </si>
  <si>
    <t>18/1 Vĩnh Phú-VTT</t>
  </si>
  <si>
    <t>38/1 Mỹ Thiện-Mỹ Đức</t>
  </si>
  <si>
    <t>CC KTPL/15/Khá</t>
  </si>
  <si>
    <t>3 Thạnh Lợi-VTT</t>
  </si>
  <si>
    <t>Bộ đội</t>
  </si>
  <si>
    <t>Thới Sơn-An Giang</t>
  </si>
  <si>
    <t>Viên chức</t>
  </si>
  <si>
    <t>Vĩnh Phúc-Cái Dầu</t>
  </si>
  <si>
    <t>Thủy Châu-Bình Trị Thiên</t>
  </si>
  <si>
    <t>Thủy Châu-Hương Thủy-BTT</t>
  </si>
  <si>
    <t>256/7 Vĩnh Hưng-VTT</t>
  </si>
  <si>
    <t>PTTH/72</t>
  </si>
  <si>
    <t>CĐCT/Anh/98/TB</t>
  </si>
  <si>
    <t>PC/07/Khá</t>
  </si>
  <si>
    <t>Vĩnh Tế-Châu Đốc</t>
  </si>
  <si>
    <t>704 Vĩnh Thành-Cái Dầu</t>
  </si>
  <si>
    <t>Hiếu Nghĩa</t>
  </si>
  <si>
    <t>5 Bình Chiến, Bình Long</t>
  </si>
  <si>
    <t>ĐH2/Anh/89</t>
  </si>
  <si>
    <t>B1/15/TB</t>
  </si>
  <si>
    <t>Bình Minh-Bình Mỹ</t>
  </si>
  <si>
    <t>CĐ3/Anh/98/TB</t>
  </si>
  <si>
    <t>ĐHTX/Anh/04/Khá</t>
  </si>
  <si>
    <t>B/Anh/97/TB</t>
  </si>
  <si>
    <t>B2/Anh/16</t>
  </si>
  <si>
    <t>237/5 Mỹ Thiện-Mỹ Đức</t>
  </si>
  <si>
    <t>Hòa hảo</t>
  </si>
  <si>
    <t>Vĩnh Thạnh Trung-AG</t>
  </si>
  <si>
    <t>30/1 Thạnh An-VTT</t>
  </si>
  <si>
    <t>PTTH/08/TB</t>
  </si>
  <si>
    <t>CĐ3/Nhạc/12/Khá</t>
  </si>
  <si>
    <t>15a.204</t>
  </si>
  <si>
    <t>ĐHTC/Nhạc/15/Khá</t>
  </si>
  <si>
    <t>Cái Dầu-AG</t>
  </si>
  <si>
    <t>9 Hai Bà Trưng-Cái Dầu</t>
  </si>
  <si>
    <t>CĐ3/MT/03/Khá</t>
  </si>
  <si>
    <t>Thạnh Lợi-VTT</t>
  </si>
  <si>
    <t>CĐ3/MT/06/TB</t>
  </si>
  <si>
    <t>ĐHTC/MT/15/Khá</t>
  </si>
  <si>
    <t>Vĩnh Tiến-Cái Dầu</t>
  </si>
  <si>
    <t>ĐHTX/Toán/03/Khá</t>
  </si>
  <si>
    <t>Long Kiến-An Giang</t>
  </si>
  <si>
    <t>Yên Phong-Thanh Hóa</t>
  </si>
  <si>
    <t>211/11 Chánh Hưng-Bình Long</t>
  </si>
  <si>
    <t>PTTH/98/Khá</t>
  </si>
  <si>
    <t>Vĩnh Phúc, Cái Dầu</t>
  </si>
  <si>
    <t>CĐ2/Toán-KTCN/89/TB</t>
  </si>
  <si>
    <t>Núi Sập-An Giang</t>
  </si>
  <si>
    <t>TT Núi Sập-Thoại Sơn</t>
  </si>
  <si>
    <t>175/5 Võ Thành Long-Vĩnh Hưng-VTT</t>
  </si>
  <si>
    <t>CĐ2/Toán-KTCN/88/TB</t>
  </si>
  <si>
    <t>Bình Thạnh Đông-Phú Tân</t>
  </si>
  <si>
    <t>Bình Thạnh Đông-AG</t>
  </si>
  <si>
    <t>297/10 Vĩnh Thuận-VTT</t>
  </si>
  <si>
    <t>ĐHTX/Toán/08/Khá</t>
  </si>
  <si>
    <t>A/02/Giỏi</t>
  </si>
  <si>
    <t>Bình Chánh-AG</t>
  </si>
  <si>
    <t>Khánh Hòa-Khánh Hòa</t>
  </si>
  <si>
    <t>Bình Phú-AG</t>
  </si>
  <si>
    <t>Bình Lợi-Bình Chánh</t>
  </si>
  <si>
    <t>PTTH/09/TB</t>
  </si>
  <si>
    <t>CĐ3/Tin/13/TB</t>
  </si>
  <si>
    <t>B/Anh/14/TB</t>
  </si>
  <si>
    <t>19</t>
  </si>
  <si>
    <t>An Giang</t>
  </si>
  <si>
    <t>Nhơn Hội-An Phú</t>
  </si>
  <si>
    <t>Nhơn Hội-An Giang</t>
  </si>
  <si>
    <t>Búng Bình Thiên-Quốc Thái</t>
  </si>
  <si>
    <t>CĐ3/Tin/12/TB</t>
  </si>
  <si>
    <t>CĐ3/Lý-KTCN/86/TB</t>
  </si>
  <si>
    <t>CN/12/Giỏi</t>
  </si>
  <si>
    <t>532/21 Vĩnh Quới-VTT</t>
  </si>
  <si>
    <t>PTTH/02/Khá</t>
  </si>
  <si>
    <t>Long Kiến-AG</t>
  </si>
  <si>
    <t>An Thạnh Trung-Chợ Mới</t>
  </si>
  <si>
    <t>CĐ3/Lý-KTCN/99/TB</t>
  </si>
  <si>
    <t>CN/15/Giỏi</t>
  </si>
  <si>
    <t>ĐHTX/Lý/10/Khá</t>
  </si>
  <si>
    <t>B/Anh/06/TB</t>
  </si>
  <si>
    <t>CĐ3/Lý-KTCN/04/Khá</t>
  </si>
  <si>
    <t>CĐ3/Hóa-Địa/00/TB</t>
  </si>
  <si>
    <t>146/6 Vĩnh Phú-VTT</t>
  </si>
  <si>
    <t>QLTH/11/Khá</t>
  </si>
  <si>
    <t>CĐ3/Sinh-KTNN/87/TB</t>
  </si>
  <si>
    <t>ĐHTX/Sinh/00/TB</t>
  </si>
  <si>
    <t>Lạc Quới-Tịnh Biên</t>
  </si>
  <si>
    <t>Vĩnh Quí-VTT</t>
  </si>
  <si>
    <t>18 Vĩnh Tiến-Cái Dầu</t>
  </si>
  <si>
    <t>103/5 Vĩnh Thành-Cái Dầu</t>
  </si>
  <si>
    <t>PTTH/88/TB</t>
  </si>
  <si>
    <t>CĐ3/Sinh-KTNN/91/TB</t>
  </si>
  <si>
    <t>CN/12/Khá</t>
  </si>
  <si>
    <t>Bình Hòa-Cái Dầu</t>
  </si>
  <si>
    <t>PTTH/87/TB</t>
  </si>
  <si>
    <t>CĐ3/Văn-KTPT/91/Khá</t>
  </si>
  <si>
    <t>CĐ3/TD/ 95/Giỏi</t>
  </si>
  <si>
    <t>3 Vĩnh Phúc-Cái Dầu</t>
  </si>
  <si>
    <t>ĐHTC/TD/06/Khá</t>
  </si>
  <si>
    <t>TT An Phú-An Phú</t>
  </si>
  <si>
    <t>ấp 4, TT An Phú-</t>
  </si>
  <si>
    <t>BTTH/02/TB</t>
  </si>
  <si>
    <t>CĐ3/TD/06/Khá</t>
  </si>
  <si>
    <t>ĐHTC/TD/11/Khá</t>
  </si>
  <si>
    <t>CĐ3/TD/04/TB</t>
  </si>
  <si>
    <t>Năm hiện tại</t>
  </si>
  <si>
    <t>Tuổi</t>
  </si>
  <si>
    <t>ĐHTX</t>
  </si>
  <si>
    <t>TCTC/KTDN/08/Khá</t>
  </si>
  <si>
    <t>ĐHCQ</t>
  </si>
  <si>
    <t>ĐHTC</t>
  </si>
  <si>
    <t>Thạc sĩ</t>
  </si>
  <si>
    <t>Đại học</t>
  </si>
  <si>
    <t>Cao đẳng</t>
  </si>
  <si>
    <t>Trung cấp</t>
  </si>
  <si>
    <t>Nhân viên</t>
  </si>
  <si>
    <t>Giáo viên</t>
  </si>
  <si>
    <t>Phó Hiệu trưởng</t>
  </si>
  <si>
    <t>Hiệu trưởng</t>
  </si>
  <si>
    <t>CQ</t>
  </si>
  <si>
    <t>TC</t>
  </si>
  <si>
    <t>TX</t>
  </si>
  <si>
    <t>CT</t>
  </si>
  <si>
    <t>Khác</t>
  </si>
  <si>
    <t>A</t>
  </si>
  <si>
    <t>B</t>
  </si>
  <si>
    <t>ĐHTC/MT/16/Giỏi</t>
  </si>
  <si>
    <t>Vào đảng</t>
  </si>
  <si>
    <t>Số lượng</t>
  </si>
  <si>
    <t>ĐHTX/QTKD/12/TBK</t>
  </si>
  <si>
    <t>TCCQ Y/17/Giỏi</t>
  </si>
  <si>
    <t>ĐHTC/Lý/97/TB</t>
  </si>
  <si>
    <t>ĐHTX/Văn/07/TBK</t>
  </si>
  <si>
    <t>ĐHTX/Sinh/10/TBK</t>
  </si>
  <si>
    <t>ĐHTX/Sinh/08/TBK</t>
  </si>
  <si>
    <t>ĐHTX/Lý/10/TBK</t>
  </si>
  <si>
    <t>CĐ3/Lý-KTCN/08/TBK</t>
  </si>
  <si>
    <t>ĐHTX/Lý/08/TBK</t>
  </si>
  <si>
    <t>ĐHTX/Lý/07/TBK</t>
  </si>
  <si>
    <t>ĐHTX/Toán/04/TBK</t>
  </si>
  <si>
    <t>ĐHTX/Toán/08/TBK</t>
  </si>
  <si>
    <t>ĐHCQ/Toán/07/TBK</t>
  </si>
  <si>
    <t>ĐHTX/Toán/14/TBK</t>
  </si>
  <si>
    <t>ĐHTX/Anh/03/TBK</t>
  </si>
  <si>
    <t>ĐHTX/Anh/05/TBK</t>
  </si>
  <si>
    <t>ĐHCQ/Sử/09/TBK</t>
  </si>
  <si>
    <t>ĐHTX/Sử/09/TBK</t>
  </si>
  <si>
    <t>ĐHTX/Sử/14/TBK</t>
  </si>
  <si>
    <t>ĐHTX/Văn/08/TBK</t>
  </si>
  <si>
    <t>ĐHTX/Văn/05/TBK</t>
  </si>
  <si>
    <t>ĐHTX/Văn/10/TBK</t>
  </si>
  <si>
    <t>ĐHTX/Văn/04/TBK</t>
  </si>
  <si>
    <t>TC/10/TB/TC</t>
  </si>
  <si>
    <t>TC/04/TB</t>
  </si>
  <si>
    <t>Ngoại ngữ</t>
  </si>
  <si>
    <t>Trong đó nữ</t>
  </si>
  <si>
    <t>Chuyên môn</t>
  </si>
  <si>
    <t>Chính trị</t>
  </si>
  <si>
    <t>SC</t>
  </si>
  <si>
    <t>Ngô Thị Quý</t>
  </si>
  <si>
    <t>Phạm Thị Tuyết Sương</t>
  </si>
  <si>
    <t>Phạm Minh Hiếu</t>
  </si>
  <si>
    <t>Nguyễn Văn Hội</t>
  </si>
  <si>
    <t>Phan Thị Hồng Ngoan</t>
  </si>
  <si>
    <t>Võ Thị Kim Thùy</t>
  </si>
  <si>
    <t>Lê An Bình</t>
  </si>
  <si>
    <t/>
  </si>
  <si>
    <t>Ngày tháng bổ nhiệm chức vụ QL</t>
  </si>
  <si>
    <t>A2</t>
  </si>
  <si>
    <t>B1</t>
  </si>
  <si>
    <t>B2</t>
  </si>
  <si>
    <t>C1</t>
  </si>
  <si>
    <t>C2</t>
  </si>
  <si>
    <t>Tình trạng công tác</t>
  </si>
  <si>
    <t>Tình trạng hiện nay</t>
  </si>
  <si>
    <t>10/01/1964</t>
  </si>
  <si>
    <t>Lạc Quới-Châu Đốc</t>
  </si>
  <si>
    <t>24/03/2003</t>
  </si>
  <si>
    <t>01/07/2008</t>
  </si>
  <si>
    <t>05/10/2005</t>
  </si>
  <si>
    <t>V.07.04.11</t>
  </si>
  <si>
    <t>05/03/2012</t>
  </si>
  <si>
    <t>01/09/1987</t>
  </si>
  <si>
    <t>10/09/1987</t>
  </si>
  <si>
    <t>01/03/1992</t>
  </si>
  <si>
    <t>Chất Thành-Kim Sơn-Hà Nam Ninh</t>
  </si>
  <si>
    <t>PTTH/96/Khá</t>
  </si>
  <si>
    <t>CĐ3/Toán-Tin/99/TB</t>
  </si>
  <si>
    <t>2</t>
  </si>
  <si>
    <t>3</t>
  </si>
  <si>
    <t>4</t>
  </si>
  <si>
    <t>5</t>
  </si>
  <si>
    <t>6</t>
  </si>
  <si>
    <t>8</t>
  </si>
  <si>
    <t>9</t>
  </si>
  <si>
    <t>10</t>
  </si>
  <si>
    <t>11</t>
  </si>
  <si>
    <t>12</t>
  </si>
  <si>
    <t>13</t>
  </si>
  <si>
    <t>14</t>
  </si>
  <si>
    <t>15</t>
  </si>
  <si>
    <t>16</t>
  </si>
  <si>
    <t>17</t>
  </si>
  <si>
    <t>18</t>
  </si>
  <si>
    <t>20</t>
  </si>
  <si>
    <t>21</t>
  </si>
  <si>
    <t>22</t>
  </si>
  <si>
    <t>23</t>
  </si>
  <si>
    <t>24</t>
  </si>
  <si>
    <t>25</t>
  </si>
  <si>
    <t>26</t>
  </si>
  <si>
    <t>27</t>
  </si>
  <si>
    <t>28</t>
  </si>
  <si>
    <t>29</t>
  </si>
  <si>
    <t>30</t>
  </si>
  <si>
    <t>31</t>
  </si>
  <si>
    <t>32</t>
  </si>
  <si>
    <t>33</t>
  </si>
  <si>
    <t>34</t>
  </si>
  <si>
    <t>35</t>
  </si>
  <si>
    <t>36</t>
  </si>
  <si>
    <t>37</t>
  </si>
  <si>
    <t>38</t>
  </si>
  <si>
    <t>7</t>
  </si>
  <si>
    <t>1</t>
  </si>
  <si>
    <t>D</t>
  </si>
  <si>
    <r>
      <rPr>
        <sz val="8"/>
        <rFont val="Times New Roman"/>
        <family val="1"/>
      </rPr>
      <t xml:space="preserve">PHÒNG GD&amp;ĐT HUYỆN CHÂU PHÚ
</t>
    </r>
    <r>
      <rPr>
        <b/>
        <sz val="8"/>
        <rFont val="Times New Roman"/>
        <family val="1"/>
      </rPr>
      <t>TRUÒNG THCS VĨNH THẠNH TRUNG</t>
    </r>
  </si>
  <si>
    <t>CỘNG</t>
  </si>
  <si>
    <t>21/07/1965</t>
  </si>
  <si>
    <t>SC/18</t>
  </si>
  <si>
    <t>25/12/1983</t>
  </si>
  <si>
    <t>04/07/1967</t>
  </si>
  <si>
    <t>10/10/1984</t>
  </si>
  <si>
    <t>28/08/1966</t>
  </si>
  <si>
    <t>19/04/1969</t>
  </si>
  <si>
    <t>29/12/1967</t>
  </si>
  <si>
    <t>08/07/1968</t>
  </si>
  <si>
    <t>17/06/1979</t>
  </si>
  <si>
    <t>22/07/1965</t>
  </si>
  <si>
    <t>10/11/1983</t>
  </si>
  <si>
    <t>19/02/1975</t>
  </si>
  <si>
    <t>12/04/1982</t>
  </si>
  <si>
    <t>15/07/1981</t>
  </si>
  <si>
    <t>25/12/1960</t>
  </si>
  <si>
    <t>03/06/1964</t>
  </si>
  <si>
    <t>19/05/1969</t>
  </si>
  <si>
    <t>27/06/1965</t>
  </si>
  <si>
    <t>01/12/1964</t>
  </si>
  <si>
    <t>15/09/1968</t>
  </si>
  <si>
    <t>04/09/1983</t>
  </si>
  <si>
    <t>09/01/1986</t>
  </si>
  <si>
    <t>25/08/1986</t>
  </si>
  <si>
    <t>04/01/1988</t>
  </si>
  <si>
    <t>10/05/1979</t>
  </si>
  <si>
    <t>06/08/1981</t>
  </si>
  <si>
    <t>06/08/1971</t>
  </si>
  <si>
    <t>03/02/1976</t>
  </si>
  <si>
    <t>09/03/1978</t>
  </si>
  <si>
    <t>06/06/1976</t>
  </si>
  <si>
    <t>05/10/1981</t>
  </si>
  <si>
    <t>26/12/1967</t>
  </si>
  <si>
    <t>09/03/1960</t>
  </si>
  <si>
    <t>24/05/1966</t>
  </si>
  <si>
    <t>08/10/1979</t>
  </si>
  <si>
    <t>27/12/1984</t>
  </si>
  <si>
    <t>24/07/1969</t>
  </si>
  <si>
    <t>10/03/1969</t>
  </si>
  <si>
    <t>05/11/1987</t>
  </si>
  <si>
    <t>18/11/1991</t>
  </si>
  <si>
    <t>03/01/1982</t>
  </si>
  <si>
    <t>16/06/1986</t>
  </si>
  <si>
    <t>28/07/1981</t>
  </si>
  <si>
    <t>09/06/1990</t>
  </si>
  <si>
    <t>29/06/1966</t>
  </si>
  <si>
    <t>16/07/1989</t>
  </si>
  <si>
    <t>12/08/1966</t>
  </si>
  <si>
    <t>13/09/1983</t>
  </si>
  <si>
    <t>25/04/1985</t>
  </si>
  <si>
    <t>17/04/1976</t>
  </si>
  <si>
    <t>05/02/1979</t>
  </si>
  <si>
    <t>01/10/1982</t>
  </si>
  <si>
    <t>19/05/1981</t>
  </si>
  <si>
    <t>24/08/1978</t>
  </si>
  <si>
    <t>24/07/1978</t>
  </si>
  <si>
    <t>12/06/1964</t>
  </si>
  <si>
    <t>16/01/1970</t>
  </si>
  <si>
    <t>25/12/1981</t>
  </si>
  <si>
    <t>20/07/1981</t>
  </si>
  <si>
    <t>19/10/1981</t>
  </si>
  <si>
    <t>05/04/1979</t>
  </si>
  <si>
    <t>09/09/1979</t>
  </si>
  <si>
    <t>27/07/1990</t>
  </si>
  <si>
    <t>23/08/1983</t>
  </si>
  <si>
    <t>16/06/1981</t>
  </si>
  <si>
    <t>09/02/1979</t>
  </si>
  <si>
    <t>15/01/1965</t>
  </si>
  <si>
    <t>07/11/1986</t>
  </si>
  <si>
    <t>30/07/1991</t>
  </si>
  <si>
    <t>07/12/1987</t>
  </si>
  <si>
    <t>10/04/2015</t>
  </si>
  <si>
    <t>10/03/2011</t>
  </si>
  <si>
    <t>19/03/2012</t>
  </si>
  <si>
    <t>12/07/2016</t>
  </si>
  <si>
    <t>12/03/2012</t>
  </si>
  <si>
    <t>13/01/2004</t>
  </si>
  <si>
    <t>10/10/2010</t>
  </si>
  <si>
    <t>27/05/2003</t>
  </si>
  <si>
    <t>06/07/2015</t>
  </si>
  <si>
    <t>25/01/2008</t>
  </si>
  <si>
    <t>16/08/2010</t>
  </si>
  <si>
    <t>09/12/1979</t>
  </si>
  <si>
    <t>05/09/2007</t>
  </si>
  <si>
    <t>26/09/2011</t>
  </si>
  <si>
    <t>26/07/2013</t>
  </si>
  <si>
    <t>20/10/2016</t>
  </si>
  <si>
    <t>13/07/2010</t>
  </si>
  <si>
    <t>15/07/2004</t>
  </si>
  <si>
    <t>25/05/2007</t>
  </si>
  <si>
    <t>04/09/2013</t>
  </si>
  <si>
    <t>12/04/2005</t>
  </si>
  <si>
    <t>25/04/2005</t>
  </si>
  <si>
    <t>05/09/2003</t>
  </si>
  <si>
    <t>18/09/2003</t>
  </si>
  <si>
    <t>12/12/2012</t>
  </si>
  <si>
    <t>26/11/2008</t>
  </si>
  <si>
    <t>03/05/2007</t>
  </si>
  <si>
    <t>18/11/2010</t>
  </si>
  <si>
    <t>27/06/2000</t>
  </si>
  <si>
    <t>18/08/2015</t>
  </si>
  <si>
    <t>01/03/2012</t>
  </si>
  <si>
    <t>27/07/2006</t>
  </si>
  <si>
    <t>15/03/2011</t>
  </si>
  <si>
    <t>03/10/2006</t>
  </si>
  <si>
    <t>28/05/2007</t>
  </si>
  <si>
    <t>04/07/2011</t>
  </si>
  <si>
    <t>24/05/2013</t>
  </si>
  <si>
    <t>15/03/2013</t>
  </si>
  <si>
    <t>12/08/2002</t>
  </si>
  <si>
    <t>15/10/2012</t>
  </si>
  <si>
    <t>05/11/2012</t>
  </si>
  <si>
    <t>22/12/2016</t>
  </si>
  <si>
    <t>12/07/2010</t>
  </si>
  <si>
    <t>02/11/2005</t>
  </si>
  <si>
    <t>10/08/2004</t>
  </si>
  <si>
    <t>16/07/2013</t>
  </si>
  <si>
    <t>30/09/2015</t>
  </si>
  <si>
    <t>11/06/2016</t>
  </si>
  <si>
    <t>13/04/2015</t>
  </si>
  <si>
    <t>20/11/2011</t>
  </si>
  <si>
    <t>16/06/2016</t>
  </si>
  <si>
    <t>21/08/2015</t>
  </si>
  <si>
    <t>17/03/2011</t>
  </si>
  <si>
    <t>18/03/2011</t>
  </si>
  <si>
    <t>21/04/2010</t>
  </si>
  <si>
    <t>21/03/2005</t>
  </si>
  <si>
    <t>06/06/2014</t>
  </si>
  <si>
    <t>15/07/2009</t>
  </si>
  <si>
    <t>07/10/2008</t>
  </si>
  <si>
    <t>14/11/2013</t>
  </si>
  <si>
    <t>16/10/2015</t>
  </si>
  <si>
    <t>01/10/2005</t>
  </si>
  <si>
    <t>16/11/1990</t>
  </si>
  <si>
    <t>01/06/1996</t>
  </si>
  <si>
    <t>01/09/2014</t>
  </si>
  <si>
    <t>01/09/2008</t>
  </si>
  <si>
    <t>01/12/1992</t>
  </si>
  <si>
    <t>01/11/2005</t>
  </si>
  <si>
    <t>05/09/1988</t>
  </si>
  <si>
    <t>01/09/1997</t>
  </si>
  <si>
    <t>01/09/2001</t>
  </si>
  <si>
    <t>09/09/1985</t>
  </si>
  <si>
    <t>01/09/2005</t>
  </si>
  <si>
    <t>01/09/1998</t>
  </si>
  <si>
    <t>01/09/2006</t>
  </si>
  <si>
    <t>01/09/1980</t>
  </si>
  <si>
    <t>01/10/1981</t>
  </si>
  <si>
    <t>01/09/1988</t>
  </si>
  <si>
    <t>01/09/1984</t>
  </si>
  <si>
    <t>01/09/1989</t>
  </si>
  <si>
    <t>01/09/2004</t>
  </si>
  <si>
    <t>01/09/2012</t>
  </si>
  <si>
    <t>01/09/2007</t>
  </si>
  <si>
    <t>01/09/2013</t>
  </si>
  <si>
    <t>01/09/2011</t>
  </si>
  <si>
    <t>01/09/2003</t>
  </si>
  <si>
    <t>01/09/1999</t>
  </si>
  <si>
    <t>01/09/2002</t>
  </si>
  <si>
    <t>01/09/1993</t>
  </si>
  <si>
    <t>01/09/1996</t>
  </si>
  <si>
    <t>16/02/1990</t>
  </si>
  <si>
    <t>15/10/1989</t>
  </si>
  <si>
    <t>01/09/2009</t>
  </si>
  <si>
    <t>01/09/1986</t>
  </si>
  <si>
    <t>01/05/2000</t>
  </si>
  <si>
    <t>17/09/1984</t>
  </si>
  <si>
    <t>10/12/1991</t>
  </si>
  <si>
    <t>01/12/1991</t>
  </si>
  <si>
    <t>15/09/2000</t>
  </si>
  <si>
    <t>16/09/2000</t>
  </si>
  <si>
    <t>22/02/2017</t>
  </si>
  <si>
    <t>29/06/2011</t>
  </si>
  <si>
    <t>13/03/2017</t>
  </si>
  <si>
    <t>15/03/2017</t>
  </si>
  <si>
    <t>07/08/2010</t>
  </si>
  <si>
    <t>05/09/1993</t>
  </si>
  <si>
    <t>07/07/2014</t>
  </si>
  <si>
    <t>21/08/2011</t>
  </si>
  <si>
    <t>25/08/1993</t>
  </si>
  <si>
    <t>15/06/1991</t>
  </si>
  <si>
    <t>15/08/1995</t>
  </si>
  <si>
    <t>08/08/1997</t>
  </si>
  <si>
    <t>01/09/1992</t>
  </si>
  <si>
    <t>20/09/2009</t>
  </si>
  <si>
    <t>01/09/2016</t>
  </si>
  <si>
    <t>25/12/2002</t>
  </si>
  <si>
    <t>05/09/1999</t>
  </si>
  <si>
    <t>26/08/2003</t>
  </si>
  <si>
    <t>11/07/2016</t>
  </si>
  <si>
    <t>17/09/1993</t>
  </si>
  <si>
    <t>23/07/1990</t>
  </si>
  <si>
    <t>01/09/1991</t>
  </si>
  <si>
    <t>21/09/2004</t>
  </si>
  <si>
    <t>28/08/2006</t>
  </si>
  <si>
    <t>01/09/1995</t>
  </si>
  <si>
    <t>01/08/2012</t>
  </si>
  <si>
    <t>16/09/2009</t>
  </si>
  <si>
    <t>18/02/1992</t>
  </si>
  <si>
    <t>16/08/1995</t>
  </si>
  <si>
    <t>06/12/1991</t>
  </si>
  <si>
    <t>04/09/2006</t>
  </si>
  <si>
    <t>02/08/2007</t>
  </si>
  <si>
    <t>01/08/2014</t>
  </si>
  <si>
    <t>01/10/2015</t>
  </si>
  <si>
    <t>01/09/2018</t>
  </si>
  <si>
    <t>01/04/2006</t>
  </si>
  <si>
    <t>01/08/1996</t>
  </si>
  <si>
    <t>01/09/2015</t>
  </si>
  <si>
    <t>01/03/2009</t>
  </si>
  <si>
    <t>01/01/1990</t>
  </si>
  <si>
    <t>01/10/1991</t>
  </si>
  <si>
    <t>01/04/2000</t>
  </si>
  <si>
    <t>01/03/2002</t>
  </si>
  <si>
    <t>01/03/1989</t>
  </si>
  <si>
    <t>01/03/1999</t>
  </si>
  <si>
    <t>01/08/1981</t>
  </si>
  <si>
    <t>01/05/1983</t>
  </si>
  <si>
    <t>01/02/1992</t>
  </si>
  <si>
    <t>01/10/1990</t>
  </si>
  <si>
    <t>01/05/1988</t>
  </si>
  <si>
    <t>01/03/2005</t>
  </si>
  <si>
    <t>01/03/2004</t>
  </si>
  <si>
    <t>01/03/2000</t>
  </si>
  <si>
    <t>01/03/2003</t>
  </si>
  <si>
    <t>01/12/1995</t>
  </si>
  <si>
    <t>01/01/1999</t>
  </si>
  <si>
    <t>01/04/1999</t>
  </si>
  <si>
    <t>01/05/1984</t>
  </si>
  <si>
    <t>01/05/1990</t>
  </si>
  <si>
    <t>20/12/1990</t>
  </si>
  <si>
    <t>01/09/2010</t>
  </si>
  <si>
    <t>01/11/2000</t>
  </si>
  <si>
    <t>01/04/2001</t>
  </si>
  <si>
    <t>01/01/1988</t>
  </si>
  <si>
    <t>01/12/1993</t>
  </si>
  <si>
    <t>01/01/1995</t>
  </si>
  <si>
    <t>01/01/2006</t>
  </si>
  <si>
    <t>16/04/1998</t>
  </si>
  <si>
    <t>27/06/2002</t>
  </si>
  <si>
    <t>19/05/2004</t>
  </si>
  <si>
    <t>04/07/2008</t>
  </si>
  <si>
    <t>17/05/2003</t>
  </si>
  <si>
    <t>25/09/2010</t>
  </si>
  <si>
    <t>24/07/2007</t>
  </si>
  <si>
    <t>02/06/1999</t>
  </si>
  <si>
    <t>09/07/2005</t>
  </si>
  <si>
    <t>19/05/2007</t>
  </si>
  <si>
    <t>22/12/2010</t>
  </si>
  <si>
    <t>09/08/2001</t>
  </si>
  <si>
    <t>22/11/2008</t>
  </si>
  <si>
    <t>24/08/2013</t>
  </si>
  <si>
    <t>08/06/2012</t>
  </si>
  <si>
    <t>21/09/2009</t>
  </si>
  <si>
    <t>07/10/2006</t>
  </si>
  <si>
    <t>24/01/2015</t>
  </si>
  <si>
    <t>03/11/2018</t>
  </si>
  <si>
    <t>23/06/2009</t>
  </si>
  <si>
    <t>30/12/2006</t>
  </si>
  <si>
    <t>20/10/2001</t>
  </si>
  <si>
    <t>22/01/2010</t>
  </si>
  <si>
    <t>16/09/2011</t>
  </si>
  <si>
    <t>27/12/2003</t>
  </si>
  <si>
    <t>09/03/2017</t>
  </si>
  <si>
    <t>14/07/1980</t>
  </si>
  <si>
    <t>Mỹ Phú-An Giang</t>
  </si>
  <si>
    <t>Mỹ Hiệp-Mỹ Đức</t>
  </si>
  <si>
    <t>ĐHTC/Tin/10/TB</t>
  </si>
  <si>
    <t>12/4/2005</t>
  </si>
  <si>
    <t>01/01/2019</t>
  </si>
  <si>
    <t>A/05/Giỏi</t>
  </si>
  <si>
    <t>A/Anh/08/TB</t>
  </si>
  <si>
    <t>01/9/2011</t>
  </si>
  <si>
    <t>01/9/2012</t>
  </si>
  <si>
    <t>27/7/2013</t>
  </si>
  <si>
    <t>0975273542</t>
  </si>
  <si>
    <t>0936061429</t>
  </si>
  <si>
    <t>Nguyễn Thị Hồng Gấm</t>
  </si>
  <si>
    <t>17/11/2014</t>
  </si>
  <si>
    <t>23/02/2019</t>
  </si>
  <si>
    <t>23/01/1997</t>
  </si>
  <si>
    <t>20/08/2007</t>
  </si>
  <si>
    <t>30/04/2008</t>
  </si>
  <si>
    <t>23/12/2011</t>
  </si>
  <si>
    <t>0916271620</t>
  </si>
  <si>
    <t>0919029403</t>
  </si>
  <si>
    <t>28/06/2007</t>
  </si>
  <si>
    <t>CN/18/Giỏi</t>
  </si>
  <si>
    <t>V.10.02.07</t>
  </si>
  <si>
    <t>Nguyễn Thanh Liêm</t>
  </si>
  <si>
    <t>Nguyễn Thị Kim Cúc</t>
  </si>
  <si>
    <t>09/02/1977</t>
  </si>
  <si>
    <t>14/12/1991</t>
  </si>
  <si>
    <t>CĐ3/Tin/12/Khá</t>
  </si>
  <si>
    <t>ĐHTC/Tin/2016/Giỏi</t>
  </si>
  <si>
    <t>B/Anh/13/TB</t>
  </si>
  <si>
    <t>CĐCQ3/TD/99/Khá</t>
  </si>
  <si>
    <t>01/07/1968</t>
  </si>
  <si>
    <t>28/11/1983</t>
  </si>
  <si>
    <t>ĐHTC/TD/2019/XS</t>
  </si>
  <si>
    <t>nữ</t>
  </si>
  <si>
    <t>28/12/1988</t>
  </si>
  <si>
    <t>01/09/1977</t>
  </si>
  <si>
    <t>01/07/1981</t>
  </si>
  <si>
    <t>nam</t>
  </si>
  <si>
    <t>PTCS/08/Khá</t>
  </si>
  <si>
    <t>Môn đào tạo</t>
  </si>
  <si>
    <t>Môn dạy</t>
  </si>
  <si>
    <t>Lý</t>
  </si>
  <si>
    <t>Toán</t>
  </si>
  <si>
    <t>TD</t>
  </si>
  <si>
    <t>Văn</t>
  </si>
  <si>
    <t>Hóa</t>
  </si>
  <si>
    <t>Sử</t>
  </si>
  <si>
    <t>Địa</t>
  </si>
  <si>
    <t>T.Anh</t>
  </si>
  <si>
    <t>Tin</t>
  </si>
  <si>
    <t>CN</t>
  </si>
  <si>
    <t>Sinh</t>
  </si>
  <si>
    <t>Nhạc</t>
  </si>
  <si>
    <t>MT</t>
  </si>
  <si>
    <t>GD</t>
  </si>
  <si>
    <t>26/3/1995</t>
  </si>
  <si>
    <t>?</t>
  </si>
  <si>
    <t>SC/18/G</t>
  </si>
  <si>
    <t>03/04/2007</t>
  </si>
  <si>
    <t>26/31997</t>
  </si>
  <si>
    <t>CĐ3/Văn-GDCD/03/TBK</t>
  </si>
  <si>
    <t>Hóa-Sinh</t>
  </si>
  <si>
    <t>ThsCQ/Hóa/14/Giỏi</t>
  </si>
  <si>
    <t>Chức danh nghề nghiệp</t>
  </si>
  <si>
    <t>0917462746</t>
  </si>
  <si>
    <t>93/01 Bình Hưng-Bình Long</t>
  </si>
  <si>
    <t>11/10/2005</t>
  </si>
  <si>
    <t>Hóa-Địa</t>
  </si>
  <si>
    <t>0977225109</t>
  </si>
  <si>
    <t>Bĩnh Mỹ-AG</t>
  </si>
  <si>
    <t>Bĩnh Mỹ-Châu Phú</t>
  </si>
  <si>
    <t>201/6 Bình Tân-Bình Mỹ</t>
  </si>
  <si>
    <t>18/02/2016</t>
  </si>
  <si>
    <t>01/08/2018</t>
  </si>
  <si>
    <t>PTTH/04/Khá</t>
  </si>
  <si>
    <t>CĐ3/Sinh-KTNN/08/Khá</t>
  </si>
  <si>
    <t>ĐHTX/Sinh/13/TBK</t>
  </si>
  <si>
    <t>Sinh-KTNN</t>
  </si>
  <si>
    <t>Văn-GDCD</t>
  </si>
  <si>
    <t>B/Anh/10/TB</t>
  </si>
  <si>
    <t>CN/14/Giỏi</t>
  </si>
  <si>
    <t>17/12/2000</t>
  </si>
  <si>
    <t>0984942331</t>
  </si>
  <si>
    <t>01/11/2017</t>
  </si>
  <si>
    <t>0988010406</t>
  </si>
  <si>
    <t>819/23 Vĩnh Hưng-VTT</t>
  </si>
  <si>
    <t>26/03/2000</t>
  </si>
  <si>
    <t>0988326346</t>
  </si>
  <si>
    <t>831/23 Vĩnh Hưng-VTT</t>
  </si>
  <si>
    <t>CĐ3/Sinh-KTNN/02/TBK</t>
  </si>
  <si>
    <t>02/12/1998</t>
  </si>
  <si>
    <t>210/11Chánh Hưng-Bình Long</t>
  </si>
  <si>
    <t>01/08/2019</t>
  </si>
  <si>
    <t>10/07/2012</t>
  </si>
  <si>
    <t>PTTH/01/Khá</t>
  </si>
  <si>
    <t>CĐ3/Lý-KTCN/07/TBK</t>
  </si>
  <si>
    <t>ĐHTX/Lý/11/TBK</t>
  </si>
  <si>
    <t>Lý-KTCN</t>
  </si>
  <si>
    <t>CN/12/TB</t>
  </si>
  <si>
    <t>15/11/1999</t>
  </si>
  <si>
    <t>29/04/2010</t>
  </si>
  <si>
    <t>15/12/2007</t>
  </si>
  <si>
    <t>0939815603</t>
  </si>
  <si>
    <t>187/7 Bình Hòa-Cái Dầu</t>
  </si>
  <si>
    <t>CĐ3/Lý-KTCN/06/TBK</t>
  </si>
  <si>
    <t>CN/07/</t>
  </si>
  <si>
    <t>26/03/1999</t>
  </si>
  <si>
    <t>0972772477</t>
  </si>
  <si>
    <t>324 Vĩnh Quới-VTT</t>
  </si>
  <si>
    <t>0344112977</t>
  </si>
  <si>
    <t>CNPV</t>
  </si>
  <si>
    <t>CNCN</t>
  </si>
  <si>
    <t>CNNN</t>
  </si>
  <si>
    <t>Tổng cộng</t>
  </si>
  <si>
    <t>NV</t>
  </si>
  <si>
    <t>THEO DÕI PHỤ CẤP THÂM NIÊN NHÀ GIÁO</t>
  </si>
  <si>
    <t>26/3/2000</t>
  </si>
  <si>
    <t>15/22 Bình Nghĩa-Cái Dầu</t>
  </si>
  <si>
    <t>736/22 Bình Hưng 1-Bình Mỹ</t>
  </si>
  <si>
    <t>Tổ 04 Chánh Hưng-Bình Long</t>
  </si>
  <si>
    <t>CĐ3 KTĐiện/00/TB</t>
  </si>
  <si>
    <t>704/9 Vĩnh Thành-Cái Dầu</t>
  </si>
  <si>
    <t>CĐ3/Anh/03/Khá</t>
  </si>
  <si>
    <t>B2/Anh/15</t>
  </si>
  <si>
    <t>20/3/1998</t>
  </si>
  <si>
    <t>Cống Liêm-Nông Cống-Thanh Hóa</t>
  </si>
  <si>
    <t>160/7 Thới Thuận-Thới Sơn-Tịnh Biên</t>
  </si>
  <si>
    <t>26/3/2003</t>
  </si>
  <si>
    <t>01/07/2017</t>
  </si>
  <si>
    <t>10/10/2016</t>
  </si>
  <si>
    <t>Bình Thủy-An Giang</t>
  </si>
  <si>
    <t>Bình Đức-Long Xuyên</t>
  </si>
  <si>
    <t>597/15 Bình Trung-Bình Mỹ</t>
  </si>
  <si>
    <t>09/08/2006</t>
  </si>
  <si>
    <t>15/08/2018</t>
  </si>
  <si>
    <t>V.07.04.12</t>
  </si>
  <si>
    <t>ĐHCQ/Địa/13/Khá</t>
  </si>
  <si>
    <t>B2/Anh/17</t>
  </si>
  <si>
    <t>26/3/2006</t>
  </si>
  <si>
    <t>Chủ nhiệm</t>
  </si>
  <si>
    <t>NGLL</t>
  </si>
  <si>
    <t>HN</t>
  </si>
  <si>
    <t>STT</t>
  </si>
  <si>
    <t>Môn</t>
  </si>
  <si>
    <t>Khối 6</t>
  </si>
  <si>
    <t>Khối 7</t>
  </si>
  <si>
    <t>Khối 8</t>
  </si>
  <si>
    <t>Khối 9</t>
  </si>
  <si>
    <t>Tổng số tiết thực dạy/ tuần/Học kỳ</t>
  </si>
  <si>
    <t>Ngữ văn</t>
  </si>
  <si>
    <t>Lịch sử*</t>
  </si>
  <si>
    <t>Địa lý*</t>
  </si>
  <si>
    <t>GDCD</t>
  </si>
  <si>
    <t>Tiếng Anh</t>
  </si>
  <si>
    <t>Tiếng Pháp</t>
  </si>
  <si>
    <t>Vật lý</t>
  </si>
  <si>
    <t>Hóa học</t>
  </si>
  <si>
    <t>Sinh học</t>
  </si>
  <si>
    <t>KTNN</t>
  </si>
  <si>
    <t>KTCN</t>
  </si>
  <si>
    <t>KTPV</t>
  </si>
  <si>
    <t>Thể dục</t>
  </si>
  <si>
    <t>Âm nhạc*</t>
  </si>
  <si>
    <t>Mỹ thuật*</t>
  </si>
  <si>
    <t>TC Toán</t>
  </si>
  <si>
    <t>TC Anh</t>
  </si>
  <si>
    <t>TC Văn</t>
  </si>
  <si>
    <t>SHCN</t>
  </si>
  <si>
    <t>Lịch sử K8 HK1 1 tiết/tuần; HKII 2 tiết/tuần</t>
  </si>
  <si>
    <t>Lịch sử K9 HKI 2 tiết/tuần; HK II 1 tiết/tuần</t>
  </si>
  <si>
    <t>Địa K8 HK I 2 tiết/tuần, HK II 1 tiết/tuần</t>
  </si>
  <si>
    <t>Địa K9 HK I 1 tiết/tuần; KH II 2 tiết/tuần</t>
  </si>
  <si>
    <t>Nhạc K9 1 tiết/tuần-Dạy trong HK I</t>
  </si>
  <si>
    <t>Dạy</t>
  </si>
  <si>
    <t>Số lớp</t>
  </si>
  <si>
    <t>Số HS</t>
  </si>
  <si>
    <t>Số tiết dạy trong tuần</t>
  </si>
  <si>
    <t>MT K9 1 tiết/tuần-Dạy trong HK I</t>
  </si>
  <si>
    <t>GVCN</t>
  </si>
  <si>
    <t>Tổng cộng số tiết dạy/tuần</t>
  </si>
  <si>
    <t>Số tiết GV có khả năng đảm nhận</t>
  </si>
  <si>
    <t>QLTHCS/18/Khá</t>
  </si>
  <si>
    <t>QLTHCS/19</t>
  </si>
  <si>
    <t>26/3/1999</t>
  </si>
  <si>
    <t>01/9/2003</t>
  </si>
  <si>
    <t>503/20 Vĩnh Quới-VTT</t>
  </si>
  <si>
    <t>TT An Phú-AG</t>
  </si>
  <si>
    <t>48/3 Vĩnh Quới-VTT</t>
  </si>
  <si>
    <t>CĐ3/Toán/09/TBK</t>
  </si>
  <si>
    <t>A2/Anh/16/Khá</t>
  </si>
  <si>
    <t>15/12/2008</t>
  </si>
  <si>
    <t>CĐ3/Văn-GDCD/06/TBK</t>
  </si>
  <si>
    <t>19/05/1986</t>
  </si>
  <si>
    <t>20/09/1987</t>
  </si>
  <si>
    <t>1123/9 Vĩnh Nghĩa-Vĩnh Trường</t>
  </si>
  <si>
    <t>14/12/2018</t>
  </si>
  <si>
    <t>261/12 Vĩnh Lợi-VTT</t>
  </si>
  <si>
    <t>21/12/2018</t>
  </si>
  <si>
    <t>06/4/2001</t>
  </si>
  <si>
    <t>25/11/2012</t>
  </si>
  <si>
    <t>Châu Phú B-AG</t>
  </si>
  <si>
    <t>01/07/2013</t>
  </si>
  <si>
    <t>CĐ3/Hóa-Sinh/01/TBK</t>
  </si>
  <si>
    <t>CN/18/Khá</t>
  </si>
  <si>
    <t>26/3/1997</t>
  </si>
  <si>
    <t>16/10/1976</t>
  </si>
  <si>
    <t>673/19 Vĩnh Hưng-VTT</t>
  </si>
  <si>
    <t>không</t>
  </si>
  <si>
    <t>TCTC Tviện/00/Khá</t>
  </si>
  <si>
    <t>20/11/1999</t>
  </si>
  <si>
    <t>01/3/2005</t>
  </si>
  <si>
    <t>0949010871</t>
  </si>
  <si>
    <t>0939208137</t>
  </si>
  <si>
    <t>0984493556</t>
  </si>
  <si>
    <t>0939208139</t>
  </si>
  <si>
    <t>0382441727</t>
  </si>
  <si>
    <t>0919304371</t>
  </si>
  <si>
    <t>0919159154</t>
  </si>
  <si>
    <t>0974417092</t>
  </si>
  <si>
    <t>0982224133</t>
  </si>
  <si>
    <t>0398066414</t>
  </si>
  <si>
    <t>0816789379</t>
  </si>
  <si>
    <t>0967666805</t>
  </si>
  <si>
    <t>0397154797</t>
  </si>
  <si>
    <t>0974230187</t>
  </si>
  <si>
    <t>0989735545</t>
  </si>
  <si>
    <t>0367667670</t>
  </si>
  <si>
    <t>0919564211</t>
  </si>
  <si>
    <t>0 766882827</t>
  </si>
  <si>
    <t>0355137981</t>
  </si>
  <si>
    <t>0986275073</t>
  </si>
  <si>
    <t>0387050052</t>
  </si>
  <si>
    <t>0965606942</t>
  </si>
  <si>
    <t>0979448702</t>
  </si>
  <si>
    <t>0906986400</t>
  </si>
  <si>
    <t>0915391807</t>
  </si>
  <si>
    <t>0944511589</t>
  </si>
  <si>
    <t>0919367349</t>
  </si>
  <si>
    <t>0987076759</t>
  </si>
  <si>
    <t>0349518705</t>
  </si>
  <si>
    <t>0365858855</t>
  </si>
  <si>
    <t>0903645384</t>
  </si>
  <si>
    <t>0907363108</t>
  </si>
  <si>
    <t>0916363166</t>
  </si>
  <si>
    <t>0355646898</t>
  </si>
  <si>
    <t>0917185129</t>
  </si>
  <si>
    <t>0918469017</t>
  </si>
  <si>
    <t>0962187567</t>
  </si>
  <si>
    <t>0916433239</t>
  </si>
  <si>
    <t>0368505297</t>
  </si>
  <si>
    <t>0918404505</t>
  </si>
  <si>
    <t>0389522171</t>
  </si>
  <si>
    <t>0858593079</t>
  </si>
  <si>
    <t>0358300982</t>
  </si>
  <si>
    <t>0976992020</t>
  </si>
  <si>
    <t>0349902119</t>
  </si>
  <si>
    <t>0974827911</t>
  </si>
  <si>
    <t>0367919303</t>
  </si>
  <si>
    <t>0378908576</t>
  </si>
  <si>
    <t>0907598297</t>
  </si>
  <si>
    <t>0394504350</t>
  </si>
  <si>
    <t>0798436683</t>
  </si>
  <si>
    <t>0756957121</t>
  </si>
  <si>
    <t>0919557527</t>
  </si>
  <si>
    <t>"0973125128</t>
  </si>
  <si>
    <t>0919463336</t>
  </si>
  <si>
    <t>0939775370</t>
  </si>
  <si>
    <t>0795989567</t>
  </si>
  <si>
    <t>0358441944</t>
  </si>
  <si>
    <t>0988875187</t>
  </si>
  <si>
    <t>0946337321</t>
  </si>
  <si>
    <t>Nghỉ hưu 4/20</t>
  </si>
  <si>
    <t>Chuyển Cái Dầu 1/19</t>
  </si>
  <si>
    <t>Chuyển Mỹ Đức 7/18</t>
  </si>
  <si>
    <t>Chuyển Khánh Bình 7/18</t>
  </si>
  <si>
    <t>Chuyển Mỹ Đức 7/19</t>
  </si>
  <si>
    <t>Nghỉ hưu 7/19</t>
  </si>
  <si>
    <t>Chuyển Bình Mỹ 7/19</t>
  </si>
  <si>
    <t>21/09/2018</t>
  </si>
  <si>
    <t>01/4</t>
  </si>
  <si>
    <t>01/9</t>
  </si>
  <si>
    <t>01/3</t>
  </si>
  <si>
    <t>01/12</t>
  </si>
  <si>
    <t>01/5</t>
  </si>
  <si>
    <t>Nghỉ việc 4/20</t>
  </si>
  <si>
    <t>Nghỉ việc 12/18</t>
  </si>
  <si>
    <t>CỘNG HÒA XÃ HỘI CHỦ NGHĨA VIỆT NAM</t>
  </si>
  <si>
    <t>TRƯỜNG THCS VĨNH THẠNH TRUNG</t>
  </si>
  <si>
    <t>Mẫu 03-THCS</t>
  </si>
  <si>
    <t>A. Cơ sở lập kế hoạch :</t>
  </si>
  <si>
    <t>Nguồn tuyển sinh lớp 6</t>
  </si>
  <si>
    <t>Toàn cấp</t>
  </si>
  <si>
    <t>Lớp 6</t>
  </si>
  <si>
    <t>Lớp 7</t>
  </si>
  <si>
    <t>Lớp 8</t>
  </si>
  <si>
    <t>Lớp 9</t>
  </si>
  <si>
    <t>Phòng học</t>
  </si>
  <si>
    <t>Tỉ lệ Lớp/Phòng</t>
  </si>
  <si>
    <t>Tỉ lệ GV/Lớp</t>
  </si>
  <si>
    <t>Dự kiến HS lớp 5 trên địa bản tuyển</t>
  </si>
  <si>
    <t>Tên trường tiểu học trong địa bàn thu hút</t>
  </si>
  <si>
    <t>Trường</t>
  </si>
  <si>
    <t>X</t>
  </si>
  <si>
    <t>Lớp</t>
  </si>
  <si>
    <t>Học sinh</t>
  </si>
  <si>
    <t>Tỉ lệ HS/Lớp</t>
  </si>
  <si>
    <t>Dự kiến học sinh sẽ lưu ban</t>
  </si>
  <si>
    <t>Dự kiến tỉ lệ lưu ban</t>
  </si>
  <si>
    <t>Dự kiến học sinh sẽ bỏ học</t>
  </si>
  <si>
    <t>Dự kiến tỉ lệ Lớp/Phòng</t>
  </si>
  <si>
    <t>KH phòng học</t>
  </si>
  <si>
    <t>Dự kiến tỉ lệ GV/Lớp</t>
  </si>
  <si>
    <t>KH giáo viên</t>
  </si>
  <si>
    <t>Nhu cầu giáo viên theo bộ môn : (+ thừa, - thiếu)</t>
  </si>
  <si>
    <t>C. Phần thuyết minh</t>
  </si>
  <si>
    <t>PHÒNG GIÁO DỤC-ĐÀO TẠO CHÂU PHÚ</t>
  </si>
  <si>
    <t>KẾ HOẠCH PHÁT TRIỂN NĂM HỌC 2020 -2021</t>
  </si>
  <si>
    <t>ĐIỂM CHÍNH</t>
  </si>
  <si>
    <t>Thống kê giữa năm học 2019 - 2020 (cuối tháng 2/2020)</t>
  </si>
  <si>
    <t>A VTT(155)</t>
  </si>
  <si>
    <t>B VTT(121)</t>
  </si>
  <si>
    <t>C VTT(121)</t>
  </si>
  <si>
    <t>D VTT(8)</t>
  </si>
  <si>
    <t>Dự kiên tỉ lệ bỏ học</t>
  </si>
  <si>
    <t>A MP(3); A CD(5)</t>
  </si>
  <si>
    <t>B. Kế hoạch năm học 2020 - 2021</t>
  </si>
  <si>
    <t>HS 2019 - 2020 lên lớp</t>
  </si>
  <si>
    <t>HS tuyển mới và huy động bỏ học trở lại 2020 -2021</t>
  </si>
  <si>
    <t>TS Học sinh năm học 2020 - 2021</t>
  </si>
  <si>
    <t xml:space="preserve"> </t>
  </si>
  <si>
    <t>+thiếu, - thừa  GV</t>
  </si>
  <si>
    <t>HIỆU TRƯỞNG</t>
  </si>
  <si>
    <t>Vĩnh Thạnh Trung, ngày 10 tháng 02 năm 2020</t>
  </si>
  <si>
    <t>PHÒNG GD-ĐT HUYỆN CHÂU PHÚ</t>
  </si>
  <si>
    <t>Phân công dạy+Kiêm nhiệm</t>
  </si>
  <si>
    <t>CN,
NGLL</t>
  </si>
  <si>
    <t>Kiêm nhiệm</t>
  </si>
  <si>
    <t>Số tiết kiêm nhiệm trong tuần</t>
  </si>
  <si>
    <t>PBM</t>
  </si>
  <si>
    <t>Số tiết trung bình của GV/tuần</t>
  </si>
  <si>
    <t>Số tiết giảm trừ con nhỏ</t>
  </si>
  <si>
    <t>SL GV theo môn</t>
  </si>
  <si>
    <t>Số giáo viên</t>
  </si>
  <si>
    <t>Cần có</t>
  </si>
  <si>
    <t>Thừa</t>
  </si>
  <si>
    <t>Thiếu</t>
  </si>
  <si>
    <t>Số tiết có thể cộng thêm (HT, PHT..)</t>
  </si>
  <si>
    <t>TTND,CĐ</t>
  </si>
  <si>
    <t xml:space="preserve">   </t>
  </si>
  <si>
    <t xml:space="preserve"> CỘNG HÒA XÃ HỘI CHỦ NGHĨA VIỆT NAM</t>
  </si>
  <si>
    <t>Độc lập-Tự do-Hạnh phúc</t>
  </si>
  <si>
    <t>KẾ HOẠCH NHU CẦU CÁN BỘ-GIÁO VIÊN-NHÂN VIÊN</t>
  </si>
  <si>
    <t>Cấp 2</t>
  </si>
  <si>
    <t>lớp</t>
  </si>
  <si>
    <t>em</t>
  </si>
  <si>
    <t xml:space="preserve">Số lớp </t>
  </si>
  <si>
    <t>Lớp 6:</t>
  </si>
  <si>
    <t>Lớp 7:</t>
  </si>
  <si>
    <t>Lớp 8:</t>
  </si>
  <si>
    <t>Lớp 9:</t>
  </si>
  <si>
    <t>Anh</t>
  </si>
  <si>
    <t>Pháp</t>
  </si>
  <si>
    <t>Học sinh lớp 6</t>
  </si>
  <si>
    <t>Học sinh lớp 7</t>
  </si>
  <si>
    <t>Học sinh lớp 8</t>
  </si>
  <si>
    <t>Học sinh lớp 9</t>
  </si>
  <si>
    <r>
      <t xml:space="preserve">II/- </t>
    </r>
    <r>
      <rPr>
        <b/>
        <u/>
        <sz val="12"/>
        <rFont val="Times New Roman"/>
        <family val="1"/>
      </rPr>
      <t>CÁN BỘ-GIÁO VIÊN-NHÂN VIÊN HIỆN CÓ</t>
    </r>
    <r>
      <rPr>
        <sz val="12"/>
        <rFont val="Times New Roman"/>
        <family val="1"/>
      </rPr>
      <t xml:space="preserve"> (Tính đến ngày báo cáo)</t>
    </r>
  </si>
  <si>
    <t>Môn dạy/ số lượng</t>
  </si>
  <si>
    <t>TDTT</t>
  </si>
  <si>
    <t>CB quản lý</t>
  </si>
  <si>
    <t>GV dạy lớp</t>
  </si>
  <si>
    <t>CT/TPT Đội</t>
  </si>
  <si>
    <t>BT Đoàn trường</t>
  </si>
  <si>
    <t>Vi tính</t>
  </si>
  <si>
    <t>THTN (TB)</t>
  </si>
  <si>
    <t>Kế toán</t>
  </si>
  <si>
    <t>Văn thư</t>
  </si>
  <si>
    <t>Thư viện</t>
  </si>
  <si>
    <t>Thủ quỹ</t>
  </si>
  <si>
    <t>BVPV</t>
  </si>
  <si>
    <t>Khác (y tế)</t>
  </si>
  <si>
    <t xml:space="preserve">III/- KẾ HOẠCH BỐ TRÍ GIẢNG DẠY </t>
  </si>
  <si>
    <t>Số tiết phải dạy</t>
  </si>
  <si>
    <t>Số tiết có khả năng đảm trách</t>
  </si>
  <si>
    <t>TS tiết thiếu</t>
  </si>
  <si>
    <t>TS tiết thừa</t>
  </si>
  <si>
    <t>GV cần bổ sung</t>
  </si>
  <si>
    <t>GV thừa cần điều đi nơi khác</t>
  </si>
  <si>
    <t>IV/. NHỮNG ĐỀ NGHỊ KHÁC CỦA ĐƠN VỊ:</t>
  </si>
  <si>
    <t>Người lập bảng</t>
  </si>
  <si>
    <t>Mục 1</t>
  </si>
  <si>
    <t>Số liệu lớp, học sinh</t>
  </si>
  <si>
    <t>Lớp học sinh</t>
  </si>
  <si>
    <t>HS</t>
  </si>
  <si>
    <t>Mục 2</t>
  </si>
  <si>
    <t>Số liệu cán bộ quản lý, giáo viên</t>
  </si>
  <si>
    <t>Cán bộ, giáo viên</t>
  </si>
  <si>
    <t>Tổng số</t>
  </si>
  <si>
    <t>Trong đó chia theo bộ môn</t>
  </si>
  <si>
    <t>Số liệu cán bộ quản lý, giáo viên hiện có</t>
  </si>
  <si>
    <t>*Cán bộ quản lý</t>
  </si>
  <si>
    <t>*GV dạy lớp</t>
  </si>
  <si>
    <t>*Tổng phụ trách Đội</t>
  </si>
  <si>
    <t>*PT Thiết bị-Thí nghiệm</t>
  </si>
  <si>
    <t>Số lượng thiếu (nhu cầu bổ sung)</t>
  </si>
  <si>
    <t>E</t>
  </si>
  <si>
    <t>Số lượng thừa</t>
  </si>
  <si>
    <t>NHÂN VIÊN</t>
  </si>
  <si>
    <t>Diễn giải</t>
  </si>
  <si>
    <t>Thiết bị</t>
  </si>
  <si>
    <t>Y tế</t>
  </si>
  <si>
    <t>HĐ theo NĐ 68</t>
  </si>
  <si>
    <t>Bảo vệ</t>
  </si>
  <si>
    <t>Phục vụ</t>
  </si>
  <si>
    <t>Số nhân viên hiện có</t>
  </si>
  <si>
    <t>Thủ trưởng đơn vị</t>
  </si>
  <si>
    <t>Số lượng thiếu (cần bổ sung)</t>
  </si>
  <si>
    <t>Phổ thông-Chuyên nghiệp-Trung tâmKTTH-HNDN-năm học 20__ -20__ (không tính kiêm nhiệm)</t>
  </si>
  <si>
    <t>I/-KẾ HOẠCH LỚP-HỌC SINH:</t>
  </si>
  <si>
    <t>KẾ HOẠCH NHU CẦU VỊ TRÍ VIỆC LÀM VÀ SỐ NGƯỜI LÀM VIỆC NĂM HỌC 2020-2021</t>
  </si>
  <si>
    <t>Năm học 2019-2020</t>
  </si>
  <si>
    <t>Kế hoạch năm học  2020-2021</t>
  </si>
  <si>
    <t>Vĩnh Thạnh Trung, ngày ... tháng ... năm 2020</t>
  </si>
  <si>
    <t>Số GV cần có làm tròn</t>
  </si>
  <si>
    <t>Số lượng giảm do nghỉ hưu năm học 2020-2021</t>
  </si>
  <si>
    <t>01/04</t>
  </si>
  <si>
    <t>Năm học 2020-2021</t>
  </si>
  <si>
    <t>Trung nông</t>
  </si>
  <si>
    <t>148 Bình Quới 2, Bình Thạnh Đông</t>
  </si>
  <si>
    <t>CĐ3/Văn-Sử/99/TB</t>
  </si>
  <si>
    <t>CC4/14/Khá</t>
  </si>
  <si>
    <t>01/9/1999</t>
  </si>
  <si>
    <t>19/9/2007</t>
  </si>
  <si>
    <t>01/7/2019</t>
  </si>
  <si>
    <t>01/4/2000</t>
  </si>
  <si>
    <t>01/9/2006</t>
  </si>
  <si>
    <t>01/6/2000</t>
  </si>
  <si>
    <t>Khánh Hòa-AG</t>
  </si>
  <si>
    <t>Khánh Hòa-Châu Phú</t>
  </si>
  <si>
    <t>34-Phạm Ngũ Lão, Bình Hòa, Cái Dầu</t>
  </si>
  <si>
    <t>BTTH/85/-</t>
  </si>
  <si>
    <t>ĐHTC/Văn/92/-</t>
  </si>
  <si>
    <t>B/Anh/16/TB</t>
  </si>
  <si>
    <t>CC4/13/Khá</t>
  </si>
  <si>
    <t>26/12/2013</t>
  </si>
  <si>
    <t>12/11/1986</t>
  </si>
  <si>
    <t>17/10/1984</t>
  </si>
  <si>
    <t>01/8/2018</t>
  </si>
  <si>
    <t>01/11/1986</t>
  </si>
  <si>
    <t>Chưa thẻ</t>
  </si>
  <si>
    <t>Chuyển</t>
  </si>
  <si>
    <t>CĐ3/Sử-GDCD/02/TBK</t>
  </si>
  <si>
    <t>01/01/2011</t>
  </si>
  <si>
    <t>01/6</t>
  </si>
  <si>
    <t>01/10</t>
  </si>
  <si>
    <t>01.011</t>
  </si>
  <si>
    <t>06.031</t>
  </si>
  <si>
    <t>06.035</t>
  </si>
  <si>
    <t>01.003</t>
  </si>
  <si>
    <t>BTTH/84/-</t>
  </si>
  <si>
    <t>01/5/1986</t>
  </si>
  <si>
    <t>Công giáo</t>
  </si>
  <si>
    <t>TC/11</t>
  </si>
  <si>
    <t>CC/14/Khá</t>
  </si>
  <si>
    <t>01/11/2009</t>
  </si>
  <si>
    <t>01/7</t>
  </si>
  <si>
    <t>01/01</t>
  </si>
  <si>
    <t>01/9/2008</t>
  </si>
  <si>
    <t>01/8/2009</t>
  </si>
  <si>
    <t>01/01/1997</t>
  </si>
  <si>
    <t>01/02/2010</t>
  </si>
  <si>
    <t>01/8/2014</t>
  </si>
  <si>
    <t xml:space="preserve">                            </t>
  </si>
  <si>
    <t>V.08.03.07</t>
  </si>
  <si>
    <t>22/10/2019</t>
  </si>
  <si>
    <t>Nghỉ việc 5/20</t>
  </si>
  <si>
    <t>Nghỉ việc 9/17</t>
  </si>
  <si>
    <t>01/01/1964</t>
  </si>
  <si>
    <t>CĐ3/Văn-KTPT/87/TB</t>
  </si>
  <si>
    <t>ĐHTC/Văn/96/TB</t>
  </si>
  <si>
    <t>10/9/1979</t>
  </si>
  <si>
    <t>10/9/1987</t>
  </si>
  <si>
    <t>18/7/2008</t>
  </si>
  <si>
    <t>Nghỉ hưu 7/17</t>
  </si>
  <si>
    <t>12/06/1962</t>
  </si>
  <si>
    <t>Hưng Thông-Nghệ An</t>
  </si>
  <si>
    <t>Hưng Thông-Hưng Nguyên-Nghệ An</t>
  </si>
  <si>
    <t>3/7 Viĩnh Thuận-VTT</t>
  </si>
  <si>
    <t>BTTH/81/-</t>
  </si>
  <si>
    <t>CĐ3/Lý-KTCN/84/TB</t>
  </si>
  <si>
    <t>ĐHTX/Lý/04/TBK</t>
  </si>
  <si>
    <t>14/8/2001</t>
  </si>
  <si>
    <t>05/8/1988</t>
  </si>
  <si>
    <t xml:space="preserve">  </t>
  </si>
  <si>
    <t>01/6/2015</t>
  </si>
  <si>
    <t>CĐ3/Toán-Tin/02/TBK</t>
  </si>
  <si>
    <t>15/10/1991</t>
  </si>
  <si>
    <t>01/02</t>
  </si>
  <si>
    <t xml:space="preserve">                    </t>
  </si>
  <si>
    <t>A/10/Khá</t>
  </si>
  <si>
    <t>01/7/2017</t>
  </si>
  <si>
    <t>01/9/2013</t>
  </si>
  <si>
    <t>01/9/2014</t>
  </si>
  <si>
    <t>01/10/2012</t>
  </si>
  <si>
    <t>PTTH/91/Khá</t>
  </si>
  <si>
    <t>01/3/2012</t>
  </si>
  <si>
    <t>01/9/1980</t>
  </si>
  <si>
    <t>01/8/1983</t>
  </si>
  <si>
    <t>A/97/Khá</t>
  </si>
  <si>
    <t>01/3/1999</t>
  </si>
  <si>
    <t>31.015 010</t>
  </si>
  <si>
    <t>31.036 314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</si>
</sst>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dd/mm/yyyy;@"/>
    <numFmt numFmtId="165" formatCode="0000\ 000\ 000"/>
    <numFmt numFmtId="166" formatCode="00,000"/>
    <numFmt numFmtId="167" formatCode="00\ 000"/>
    <numFmt numFmtId="168" formatCode="0.0"/>
  </numFmts>
  <fonts count="88" x14ac:knownFonts="1">
    <font>
      <sz val="11"/>
      <color theme="1"/>
      <name val="Times New Roman"/>
      <family val="2"/>
    </font>
    <font>
      <sz val="8"/>
      <color rgb="FFFF0000"/>
      <name val="Times New Roman"/>
      <family val="1"/>
    </font>
    <font>
      <sz val="8"/>
      <color theme="1"/>
      <name val="Times New Roman"/>
      <family val="2"/>
    </font>
    <font>
      <sz val="8"/>
      <name val="Times New Roman"/>
      <family val="1"/>
    </font>
    <font>
      <b/>
      <sz val="8"/>
      <name val="Times New Roman"/>
      <family val="1"/>
    </font>
    <font>
      <b/>
      <sz val="18"/>
      <name val="Times New Roman"/>
      <family val="1"/>
    </font>
    <font>
      <b/>
      <sz val="10"/>
      <name val="Times New Roman"/>
      <family val="1"/>
    </font>
    <font>
      <b/>
      <sz val="12"/>
      <name val="Times New Roman"/>
      <family val="1"/>
    </font>
    <font>
      <sz val="8"/>
      <color indexed="10"/>
      <name val="Times New Roman"/>
      <family val="1"/>
    </font>
    <font>
      <sz val="8"/>
      <color rgb="FF0000FF"/>
      <name val="Times New Roman"/>
      <family val="1"/>
    </font>
    <font>
      <b/>
      <sz val="7"/>
      <name val="Times New Roman"/>
      <family val="1"/>
    </font>
    <font>
      <sz val="9"/>
      <color theme="1"/>
      <name val="Times New Roman"/>
      <family val="2"/>
    </font>
    <font>
      <sz val="9"/>
      <color rgb="FFFF0000"/>
      <name val="Times New Roman"/>
      <family val="2"/>
    </font>
    <font>
      <b/>
      <sz val="6"/>
      <name val="Times New Roman"/>
      <family val="1"/>
    </font>
    <font>
      <b/>
      <sz val="9"/>
      <color theme="1"/>
      <name val="Times New Roman"/>
      <family val="1"/>
    </font>
    <font>
      <sz val="8"/>
      <color rgb="FFFF0000"/>
      <name val="Times New Roman"/>
      <family val="2"/>
    </font>
    <font>
      <b/>
      <sz val="8"/>
      <color theme="1"/>
      <name val="Times New Roman"/>
      <family val="1"/>
    </font>
    <font>
      <b/>
      <sz val="8"/>
      <color rgb="FFFF0000"/>
      <name val="Times New Roman"/>
      <family val="1"/>
    </font>
    <font>
      <b/>
      <sz val="9"/>
      <color theme="1"/>
      <name val="Times New Roman"/>
      <family val="2"/>
    </font>
    <font>
      <b/>
      <sz val="11"/>
      <color theme="1"/>
      <name val="Times New Roman"/>
      <family val="1"/>
    </font>
    <font>
      <b/>
      <sz val="6"/>
      <color theme="1"/>
      <name val="Times New Roman"/>
      <family val="1"/>
    </font>
    <font>
      <sz val="8"/>
      <name val="Times New Roman"/>
      <family val="2"/>
    </font>
    <font>
      <sz val="8"/>
      <color rgb="FF0000CC"/>
      <name val="Times New Roman"/>
      <family val="2"/>
    </font>
    <font>
      <sz val="7"/>
      <name val="Times New Roman"/>
      <family val="1"/>
    </font>
    <font>
      <sz val="9"/>
      <color theme="1"/>
      <name val="Times New Roman"/>
      <family val="1"/>
    </font>
    <font>
      <sz val="9"/>
      <color rgb="FFFF0000"/>
      <name val="Times New Roman"/>
      <family val="1"/>
    </font>
    <font>
      <sz val="10"/>
      <name val="Times New Roman"/>
      <family val="1"/>
    </font>
    <font>
      <sz val="10"/>
      <color theme="1"/>
      <name val="Times New Roman"/>
      <family val="1"/>
    </font>
    <font>
      <b/>
      <sz val="10"/>
      <color theme="1"/>
      <name val="Times New Roman"/>
      <family val="1"/>
    </font>
    <font>
      <b/>
      <sz val="9"/>
      <color rgb="FFFF0000"/>
      <name val="Times New Roman"/>
      <family val="1"/>
    </font>
    <font>
      <sz val="9"/>
      <color rgb="FF0000CC"/>
      <name val="Times New Roman"/>
      <family val="1"/>
    </font>
    <font>
      <sz val="9"/>
      <name val="Times New Roman"/>
      <family val="1"/>
    </font>
    <font>
      <b/>
      <sz val="9"/>
      <name val="Times New Roman"/>
      <family val="1"/>
    </font>
    <font>
      <sz val="9"/>
      <color indexed="81"/>
      <name val="Tahoma"/>
      <family val="2"/>
    </font>
    <font>
      <b/>
      <sz val="9"/>
      <color indexed="81"/>
      <name val="Tahoma"/>
      <family val="2"/>
    </font>
    <font>
      <sz val="11"/>
      <color theme="1"/>
      <name val="Times New Roman"/>
      <family val="1"/>
    </font>
    <font>
      <sz val="7"/>
      <color theme="1"/>
      <name val="Times New Roman"/>
      <family val="1"/>
    </font>
    <font>
      <sz val="11"/>
      <color rgb="FF0000CC"/>
      <name val="Times New Roman"/>
      <family val="1"/>
    </font>
    <font>
      <sz val="10"/>
      <color rgb="FF0000CC"/>
      <name val="Times New Roman"/>
      <family val="1"/>
    </font>
    <font>
      <sz val="10"/>
      <color rgb="FFFF0000"/>
      <name val="Times New Roman"/>
      <family val="1"/>
    </font>
    <font>
      <sz val="10"/>
      <color theme="1"/>
      <name val="Calibri"/>
      <family val="2"/>
      <scheme val="minor"/>
    </font>
    <font>
      <sz val="10"/>
      <color theme="1"/>
      <name val="Arial"/>
      <family val="2"/>
    </font>
    <font>
      <sz val="8.5"/>
      <name val="Times New Roman"/>
      <family val="1"/>
    </font>
    <font>
      <sz val="11"/>
      <name val="Times New Roman"/>
      <family val="1"/>
      <charset val="163"/>
    </font>
    <font>
      <b/>
      <sz val="10"/>
      <color rgb="FF0000CC"/>
      <name val="Times New Roman"/>
      <family val="1"/>
    </font>
    <font>
      <b/>
      <sz val="10"/>
      <color rgb="FFFF0000"/>
      <name val="Times New Roman"/>
      <family val="1"/>
    </font>
    <font>
      <b/>
      <sz val="11"/>
      <color rgb="FFFF0000"/>
      <name val="Times New Roman"/>
      <family val="1"/>
    </font>
    <font>
      <b/>
      <sz val="10"/>
      <color rgb="FF0000FF"/>
      <name val="Times New Roman"/>
      <family val="1"/>
    </font>
    <font>
      <b/>
      <sz val="11"/>
      <color rgb="FF0000FF"/>
      <name val="Times New Roman"/>
      <family val="1"/>
    </font>
    <font>
      <b/>
      <sz val="8.5"/>
      <color rgb="FFFF0000"/>
      <name val="Times New Roman"/>
      <family val="1"/>
    </font>
    <font>
      <sz val="8.5"/>
      <color rgb="FF0000CC"/>
      <name val="Times New Roman"/>
      <family val="1"/>
    </font>
    <font>
      <sz val="8"/>
      <color theme="1"/>
      <name val="Times New Roman"/>
      <family val="1"/>
    </font>
    <font>
      <sz val="8.5"/>
      <color rgb="FF0000FF"/>
      <name val="Times New Roman"/>
      <family val="1"/>
    </font>
    <font>
      <b/>
      <sz val="8.5"/>
      <color rgb="FF0000FF"/>
      <name val="Times New Roman"/>
      <family val="1"/>
    </font>
    <font>
      <sz val="11"/>
      <name val="Times New Roman"/>
      <family val="1"/>
    </font>
    <font>
      <b/>
      <sz val="11"/>
      <name val="Times New Roman"/>
      <family val="1"/>
    </font>
    <font>
      <b/>
      <sz val="13"/>
      <name val="Times New Roman"/>
      <family val="1"/>
    </font>
    <font>
      <b/>
      <sz val="14"/>
      <name val="Times New Roman"/>
      <family val="1"/>
    </font>
    <font>
      <sz val="13"/>
      <name val="Times New Roman"/>
      <family val="1"/>
    </font>
    <font>
      <b/>
      <sz val="11"/>
      <name val="Times New Roman"/>
      <family val="1"/>
      <charset val="163"/>
    </font>
    <font>
      <b/>
      <sz val="11"/>
      <color indexed="10"/>
      <name val="Times New Roman"/>
      <family val="1"/>
    </font>
    <font>
      <b/>
      <sz val="11"/>
      <color indexed="10"/>
      <name val="Times New Roman"/>
      <family val="1"/>
      <charset val="163"/>
    </font>
    <font>
      <sz val="11"/>
      <color indexed="10"/>
      <name val="Times New Roman"/>
      <family val="1"/>
    </font>
    <font>
      <sz val="12"/>
      <name val="Times New Roman"/>
      <family val="1"/>
    </font>
    <font>
      <sz val="11"/>
      <color rgb="FFFF0000"/>
      <name val="Times New Roman"/>
      <family val="1"/>
    </font>
    <font>
      <i/>
      <sz val="13"/>
      <name val="Times New Roman"/>
      <family val="1"/>
    </font>
    <font>
      <i/>
      <sz val="12"/>
      <name val="Times New Roman"/>
      <family val="1"/>
    </font>
    <font>
      <sz val="11"/>
      <color indexed="10"/>
      <name val="Times New Roman"/>
      <family val="1"/>
      <charset val="163"/>
    </font>
    <font>
      <b/>
      <u/>
      <sz val="12"/>
      <name val="Times New Roman"/>
      <family val="1"/>
    </font>
    <font>
      <sz val="12"/>
      <color indexed="10"/>
      <name val="Times New Roman"/>
      <family val="1"/>
    </font>
    <font>
      <sz val="11"/>
      <color indexed="12"/>
      <name val="Times New Roman"/>
      <family val="1"/>
      <charset val="163"/>
    </font>
    <font>
      <vertAlign val="subscript"/>
      <sz val="12"/>
      <name val="Times New Roman"/>
      <family val="1"/>
    </font>
    <font>
      <b/>
      <sz val="12"/>
      <color indexed="10"/>
      <name val="Times New Roman"/>
      <family val="1"/>
      <charset val="163"/>
    </font>
    <font>
      <sz val="12"/>
      <color rgb="FFFF0000"/>
      <name val="Times New Roman"/>
      <family val="1"/>
    </font>
    <font>
      <b/>
      <sz val="13"/>
      <name val="Times New Roman"/>
      <family val="1"/>
      <charset val="163"/>
    </font>
    <font>
      <sz val="11"/>
      <color rgb="FFFF0000"/>
      <name val="Times New Roman"/>
      <family val="1"/>
      <charset val="163"/>
    </font>
    <font>
      <sz val="11"/>
      <color indexed="8"/>
      <name val="Times New Roman"/>
      <family val="1"/>
      <charset val="163"/>
    </font>
    <font>
      <sz val="9"/>
      <color indexed="8"/>
      <name val="Times New Roman"/>
      <family val="1"/>
      <charset val="163"/>
    </font>
    <font>
      <sz val="10"/>
      <color rgb="FF0000FF"/>
      <name val="Times New Roman"/>
      <family val="1"/>
    </font>
    <font>
      <sz val="11"/>
      <color rgb="FF0000CC"/>
      <name val="Times New Roman"/>
      <family val="1"/>
      <charset val="163"/>
    </font>
    <font>
      <sz val="11"/>
      <color rgb="FFFF0000"/>
      <name val="Times New Roman"/>
      <family val="2"/>
    </font>
    <font>
      <b/>
      <sz val="16"/>
      <color rgb="FFFF0000"/>
      <name val="Times New Roman"/>
      <family val="1"/>
    </font>
    <font>
      <b/>
      <sz val="14"/>
      <color rgb="FFFF0000"/>
      <name val="Times New Roman"/>
      <family val="1"/>
    </font>
    <font>
      <sz val="14"/>
      <color rgb="FFFF0000"/>
      <name val="Times New Roman"/>
      <family val="1"/>
    </font>
    <font>
      <sz val="18"/>
      <name val="Times New Roman"/>
      <family val="1"/>
    </font>
    <font>
      <sz val="12"/>
      <color rgb="FF0000FF"/>
      <name val="Times New Roman"/>
      <family val="1"/>
    </font>
    <font>
      <sz val="9"/>
      <color rgb="FF0000FF"/>
      <name val="Times New Roman"/>
      <family val="1"/>
    </font>
    <font>
      <sz val="8"/>
      <color rgb="FF0000FF"/>
      <name val="Times New Roman"/>
      <family val="2"/>
    </font>
  </fonts>
  <fills count="18">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71"/>
        <bgColor indexed="64"/>
      </patternFill>
    </fill>
    <fill>
      <patternFill patternType="solid">
        <fgColor theme="8" tint="0.59999389629810485"/>
        <bgColor indexed="64"/>
      </patternFill>
    </fill>
    <fill>
      <patternFill patternType="solid">
        <fgColor theme="6" tint="-0.249977111117893"/>
        <bgColor indexed="64"/>
      </patternFill>
    </fill>
    <fill>
      <patternFill patternType="solid">
        <fgColor rgb="FFFFC0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FF66FF"/>
        <bgColor indexed="64"/>
      </patternFill>
    </fill>
    <fill>
      <patternFill patternType="solid">
        <fgColor indexed="9"/>
        <bgColor indexed="64"/>
      </patternFill>
    </fill>
    <fill>
      <patternFill patternType="solid">
        <fgColor theme="6" tint="0.79998168889431442"/>
        <bgColor indexed="64"/>
      </patternFill>
    </fill>
    <fill>
      <patternFill patternType="solid">
        <fgColor theme="6" tint="0.39997558519241921"/>
        <bgColor indexed="64"/>
      </patternFill>
    </fill>
  </fills>
  <borders count="4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thin">
        <color indexed="64"/>
      </bottom>
      <diagonal/>
    </border>
    <border>
      <left style="thin">
        <color indexed="64"/>
      </left>
      <right/>
      <top/>
      <bottom style="dotted">
        <color indexed="64"/>
      </bottom>
      <diagonal/>
    </border>
    <border>
      <left style="dotted">
        <color indexed="64"/>
      </left>
      <right style="thin">
        <color indexed="64"/>
      </right>
      <top style="thin">
        <color indexed="64"/>
      </top>
      <bottom style="dotted">
        <color indexed="64"/>
      </bottom>
      <diagonal/>
    </border>
    <border>
      <left/>
      <right/>
      <top/>
      <bottom style="dotted">
        <color indexed="64"/>
      </bottom>
      <diagonal/>
    </border>
    <border>
      <left/>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1">
    <xf numFmtId="0" fontId="0" fillId="0" borderId="0"/>
  </cellStyleXfs>
  <cellXfs count="937">
    <xf numFmtId="0" fontId="0" fillId="0" borderId="0" xfId="0"/>
    <xf numFmtId="14" fontId="3" fillId="0" borderId="0" xfId="0" applyNumberFormat="1" applyFont="1" applyFill="1" applyAlignment="1">
      <alignment horizontal="center"/>
    </xf>
    <xf numFmtId="14" fontId="3" fillId="0" borderId="0" xfId="0" applyNumberFormat="1" applyFont="1" applyFill="1"/>
    <xf numFmtId="0" fontId="3" fillId="0" borderId="0" xfId="0" applyFont="1" applyFill="1"/>
    <xf numFmtId="49" fontId="3" fillId="0" borderId="0" xfId="0" applyNumberFormat="1" applyFont="1" applyFill="1"/>
    <xf numFmtId="0" fontId="3" fillId="0" borderId="0" xfId="0" applyNumberFormat="1" applyFont="1" applyFill="1"/>
    <xf numFmtId="0" fontId="3" fillId="0" borderId="0" xfId="0" applyFont="1" applyFill="1" applyAlignment="1">
      <alignment horizontal="center" vertical="center"/>
    </xf>
    <xf numFmtId="0" fontId="3" fillId="0" borderId="0" xfId="0" applyFont="1" applyFill="1" applyAlignment="1">
      <alignment vertical="center"/>
    </xf>
    <xf numFmtId="0" fontId="3" fillId="0" borderId="0" xfId="0" applyNumberFormat="1" applyFont="1" applyFill="1" applyAlignment="1">
      <alignment vertical="center"/>
    </xf>
    <xf numFmtId="14" fontId="9" fillId="0" borderId="5" xfId="0" applyNumberFormat="1" applyFont="1" applyFill="1" applyBorder="1" applyAlignment="1">
      <alignment horizontal="center" vertical="center" wrapText="1"/>
    </xf>
    <xf numFmtId="0" fontId="1" fillId="0" borderId="5" xfId="0" applyFont="1" applyFill="1" applyBorder="1" applyAlignment="1">
      <alignment vertical="center"/>
    </xf>
    <xf numFmtId="0" fontId="1" fillId="0" borderId="5" xfId="0" applyNumberFormat="1" applyFont="1" applyFill="1" applyBorder="1" applyAlignment="1">
      <alignment vertical="center"/>
    </xf>
    <xf numFmtId="0" fontId="3" fillId="0" borderId="2" xfId="0" applyNumberFormat="1" applyFont="1" applyFill="1" applyBorder="1"/>
    <xf numFmtId="0" fontId="3" fillId="0" borderId="11" xfId="0" applyNumberFormat="1" applyFont="1" applyFill="1" applyBorder="1" applyAlignment="1"/>
    <xf numFmtId="0" fontId="1" fillId="0" borderId="8" xfId="0" applyNumberFormat="1" applyFont="1" applyFill="1" applyBorder="1" applyAlignment="1">
      <alignment vertical="center"/>
    </xf>
    <xf numFmtId="0" fontId="0" fillId="0" borderId="0" xfId="0" applyAlignment="1">
      <alignment shrinkToFit="1"/>
    </xf>
    <xf numFmtId="49" fontId="13" fillId="0" borderId="2" xfId="0" applyNumberFormat="1" applyFont="1" applyFill="1" applyBorder="1" applyAlignment="1">
      <alignment horizontal="center" vertical="center" wrapText="1" shrinkToFit="1"/>
    </xf>
    <xf numFmtId="1" fontId="13" fillId="0" borderId="2" xfId="0" applyNumberFormat="1" applyFont="1" applyFill="1" applyBorder="1" applyAlignment="1">
      <alignment horizontal="center" vertical="center" wrapText="1" shrinkToFit="1"/>
    </xf>
    <xf numFmtId="0" fontId="13" fillId="0" borderId="2" xfId="0" applyFont="1" applyFill="1" applyBorder="1" applyAlignment="1">
      <alignment horizontal="center" vertical="center" wrapText="1" shrinkToFit="1"/>
    </xf>
    <xf numFmtId="4" fontId="13" fillId="0" borderId="2" xfId="0" applyNumberFormat="1" applyFont="1" applyFill="1" applyBorder="1" applyAlignment="1">
      <alignment horizontal="center" vertical="center" wrapText="1" shrinkToFit="1"/>
    </xf>
    <xf numFmtId="0" fontId="0" fillId="0" borderId="2" xfId="0" applyBorder="1" applyAlignment="1">
      <alignment shrinkToFit="1"/>
    </xf>
    <xf numFmtId="0" fontId="0" fillId="0" borderId="10" xfId="0" applyBorder="1" applyAlignment="1">
      <alignment shrinkToFit="1"/>
    </xf>
    <xf numFmtId="0" fontId="11" fillId="0" borderId="2" xfId="0" applyFont="1" applyBorder="1" applyAlignment="1">
      <alignment shrinkToFit="1"/>
    </xf>
    <xf numFmtId="0" fontId="12" fillId="0" borderId="2" xfId="0" applyFont="1" applyBorder="1" applyAlignment="1">
      <alignment shrinkToFit="1"/>
    </xf>
    <xf numFmtId="0" fontId="11" fillId="0" borderId="2" xfId="0" quotePrefix="1" applyFont="1" applyBorder="1" applyAlignment="1">
      <alignment shrinkToFit="1"/>
    </xf>
    <xf numFmtId="0" fontId="0" fillId="0" borderId="4" xfId="0" applyBorder="1" applyAlignment="1">
      <alignment shrinkToFit="1"/>
    </xf>
    <xf numFmtId="0" fontId="14" fillId="0" borderId="0" xfId="0" applyFont="1" applyFill="1" applyBorder="1" applyAlignment="1">
      <alignment shrinkToFit="1"/>
    </xf>
    <xf numFmtId="0" fontId="0" fillId="0" borderId="0" xfId="0" applyFill="1" applyBorder="1" applyAlignment="1">
      <alignment shrinkToFit="1"/>
    </xf>
    <xf numFmtId="0" fontId="11" fillId="0" borderId="0" xfId="0" applyFont="1" applyFill="1" applyBorder="1" applyAlignment="1">
      <alignment shrinkToFit="1"/>
    </xf>
    <xf numFmtId="0" fontId="12" fillId="0" borderId="0" xfId="0" applyFont="1" applyFill="1" applyBorder="1" applyAlignment="1">
      <alignment shrinkToFit="1"/>
    </xf>
    <xf numFmtId="0" fontId="0" fillId="0" borderId="0" xfId="0" quotePrefix="1" applyFill="1" applyBorder="1" applyAlignment="1">
      <alignment shrinkToFit="1"/>
    </xf>
    <xf numFmtId="0" fontId="11" fillId="0" borderId="0" xfId="0" quotePrefix="1" applyFont="1" applyFill="1" applyBorder="1" applyAlignment="1">
      <alignment shrinkToFit="1"/>
    </xf>
    <xf numFmtId="49" fontId="10" fillId="0" borderId="2" xfId="0" applyNumberFormat="1" applyFont="1" applyFill="1" applyBorder="1" applyAlignment="1">
      <alignment horizontal="center" vertical="center" wrapText="1"/>
    </xf>
    <xf numFmtId="4" fontId="10" fillId="0" borderId="2" xfId="0" applyNumberFormat="1" applyFont="1" applyFill="1" applyBorder="1" applyAlignment="1">
      <alignment horizontal="center" vertical="center" wrapText="1"/>
    </xf>
    <xf numFmtId="0" fontId="0" fillId="0" borderId="2" xfId="0" applyBorder="1" applyAlignment="1">
      <alignment horizontal="center" shrinkToFit="1"/>
    </xf>
    <xf numFmtId="0" fontId="11" fillId="0" borderId="2" xfId="0" applyFont="1" applyBorder="1" applyAlignment="1">
      <alignment horizontal="right" shrinkToFit="1"/>
    </xf>
    <xf numFmtId="0" fontId="0" fillId="0" borderId="2" xfId="0" applyBorder="1" applyAlignment="1">
      <alignment horizontal="right" shrinkToFit="1"/>
    </xf>
    <xf numFmtId="0" fontId="0" fillId="0" borderId="2" xfId="0" quotePrefix="1" applyBorder="1" applyAlignment="1">
      <alignment horizontal="right" shrinkToFit="1"/>
    </xf>
    <xf numFmtId="0" fontId="0" fillId="2" borderId="1" xfId="0" applyFill="1" applyBorder="1" applyAlignment="1">
      <alignment shrinkToFit="1"/>
    </xf>
    <xf numFmtId="0" fontId="11" fillId="2" borderId="2" xfId="0" applyFont="1" applyFill="1" applyBorder="1" applyAlignment="1">
      <alignment shrinkToFit="1"/>
    </xf>
    <xf numFmtId="0" fontId="18" fillId="2" borderId="2" xfId="0" applyFont="1" applyFill="1" applyBorder="1" applyAlignment="1">
      <alignment shrinkToFit="1"/>
    </xf>
    <xf numFmtId="0" fontId="12" fillId="2" borderId="2" xfId="0" applyFont="1" applyFill="1" applyBorder="1" applyAlignment="1">
      <alignment shrinkToFit="1"/>
    </xf>
    <xf numFmtId="0" fontId="12" fillId="2" borderId="2" xfId="0" applyFont="1" applyFill="1" applyBorder="1" applyAlignment="1">
      <alignment horizontal="right" shrinkToFit="1"/>
    </xf>
    <xf numFmtId="0" fontId="0" fillId="0" borderId="0" xfId="0" applyFill="1" applyBorder="1" applyAlignment="1">
      <alignment horizontal="center" shrinkToFit="1"/>
    </xf>
    <xf numFmtId="0" fontId="2" fillId="0" borderId="5" xfId="0" applyFont="1" applyFill="1" applyBorder="1" applyAlignment="1"/>
    <xf numFmtId="0" fontId="15" fillId="0" borderId="5" xfId="0" applyFont="1" applyFill="1" applyBorder="1" applyAlignment="1"/>
    <xf numFmtId="166" fontId="2" fillId="0" borderId="5" xfId="0" applyNumberFormat="1" applyFont="1" applyFill="1" applyBorder="1" applyAlignment="1"/>
    <xf numFmtId="0" fontId="2" fillId="0" borderId="5" xfId="0" applyNumberFormat="1" applyFont="1" applyFill="1" applyBorder="1" applyAlignment="1"/>
    <xf numFmtId="14" fontId="2" fillId="0" borderId="5" xfId="0" applyNumberFormat="1" applyFont="1" applyFill="1" applyBorder="1" applyAlignment="1"/>
    <xf numFmtId="2" fontId="2" fillId="0" borderId="5" xfId="0" applyNumberFormat="1" applyFont="1" applyFill="1" applyBorder="1" applyAlignment="1"/>
    <xf numFmtId="4" fontId="2" fillId="0" borderId="5" xfId="0" applyNumberFormat="1" applyFont="1" applyFill="1" applyBorder="1" applyAlignment="1"/>
    <xf numFmtId="0" fontId="15" fillId="0" borderId="7" xfId="0" applyNumberFormat="1" applyFont="1" applyFill="1" applyBorder="1" applyAlignment="1">
      <alignment horizontal="center" vertical="center"/>
    </xf>
    <xf numFmtId="4" fontId="21" fillId="0" borderId="7" xfId="0" applyNumberFormat="1" applyFont="1" applyFill="1" applyBorder="1" applyAlignment="1">
      <alignment horizontal="center" vertical="center"/>
    </xf>
    <xf numFmtId="0" fontId="2" fillId="0" borderId="5" xfId="0" applyFont="1" applyBorder="1" applyAlignment="1"/>
    <xf numFmtId="0" fontId="2" fillId="0" borderId="7" xfId="0" applyFont="1" applyFill="1" applyBorder="1" applyAlignment="1"/>
    <xf numFmtId="0" fontId="15" fillId="0" borderId="7" xfId="0" applyFont="1" applyFill="1" applyBorder="1" applyAlignment="1"/>
    <xf numFmtId="166" fontId="2" fillId="0" borderId="7" xfId="0" applyNumberFormat="1" applyFont="1" applyFill="1" applyBorder="1" applyAlignment="1"/>
    <xf numFmtId="0" fontId="2" fillId="0" borderId="7" xfId="0" applyNumberFormat="1" applyFont="1" applyFill="1" applyBorder="1" applyAlignment="1"/>
    <xf numFmtId="14" fontId="2" fillId="0" borderId="7" xfId="0" applyNumberFormat="1" applyFont="1" applyFill="1" applyBorder="1" applyAlignment="1"/>
    <xf numFmtId="2" fontId="2" fillId="0" borderId="7" xfId="0" applyNumberFormat="1" applyFont="1" applyFill="1" applyBorder="1" applyAlignment="1"/>
    <xf numFmtId="4" fontId="2" fillId="0" borderId="7" xfId="0" applyNumberFormat="1" applyFont="1" applyFill="1" applyBorder="1" applyAlignment="1"/>
    <xf numFmtId="49" fontId="2" fillId="0" borderId="7" xfId="0" applyNumberFormat="1" applyFont="1" applyFill="1" applyBorder="1" applyAlignment="1"/>
    <xf numFmtId="0" fontId="2" fillId="0" borderId="7" xfId="0" applyFont="1" applyBorder="1" applyAlignment="1"/>
    <xf numFmtId="0" fontId="22" fillId="0" borderId="7" xfId="0" applyFont="1" applyBorder="1" applyAlignment="1"/>
    <xf numFmtId="0" fontId="19" fillId="2" borderId="2" xfId="0" applyFont="1" applyFill="1" applyBorder="1" applyAlignment="1">
      <alignment shrinkToFit="1"/>
    </xf>
    <xf numFmtId="0" fontId="14" fillId="2" borderId="2" xfId="0" applyFont="1" applyFill="1" applyBorder="1" applyAlignment="1">
      <alignment shrinkToFit="1"/>
    </xf>
    <xf numFmtId="0" fontId="14" fillId="0" borderId="2" xfId="0" applyFont="1" applyBorder="1" applyAlignment="1">
      <alignment shrinkToFit="1"/>
    </xf>
    <xf numFmtId="0" fontId="14" fillId="0" borderId="2" xfId="0" applyFont="1" applyBorder="1" applyAlignment="1">
      <alignment wrapText="1" shrinkToFit="1"/>
    </xf>
    <xf numFmtId="0" fontId="24" fillId="2" borderId="2" xfId="0" applyFont="1" applyFill="1" applyBorder="1" applyAlignment="1">
      <alignment shrinkToFit="1"/>
    </xf>
    <xf numFmtId="0" fontId="25" fillId="4" borderId="2" xfId="0" applyFont="1" applyFill="1" applyBorder="1" applyAlignment="1">
      <alignment shrinkToFit="1"/>
    </xf>
    <xf numFmtId="0" fontId="24" fillId="0" borderId="2" xfId="0" applyFont="1" applyBorder="1" applyAlignment="1">
      <alignment shrinkToFit="1"/>
    </xf>
    <xf numFmtId="0" fontId="22" fillId="2" borderId="7" xfId="0" applyFont="1" applyFill="1" applyBorder="1" applyAlignment="1"/>
    <xf numFmtId="166" fontId="2" fillId="2" borderId="7" xfId="0" applyNumberFormat="1" applyFont="1" applyFill="1" applyBorder="1" applyAlignment="1"/>
    <xf numFmtId="0" fontId="2" fillId="2" borderId="7" xfId="0" applyNumberFormat="1" applyFont="1" applyFill="1" applyBorder="1" applyAlignment="1"/>
    <xf numFmtId="14" fontId="2" fillId="2" borderId="7" xfId="0" applyNumberFormat="1" applyFont="1" applyFill="1" applyBorder="1" applyAlignment="1"/>
    <xf numFmtId="2" fontId="2" fillId="2" borderId="7" xfId="0" applyNumberFormat="1" applyFont="1" applyFill="1" applyBorder="1" applyAlignment="1"/>
    <xf numFmtId="4" fontId="2" fillId="2" borderId="7" xfId="0" applyNumberFormat="1" applyFont="1" applyFill="1" applyBorder="1" applyAlignment="1"/>
    <xf numFmtId="0" fontId="15" fillId="2" borderId="7" xfId="0" applyNumberFormat="1" applyFont="1" applyFill="1" applyBorder="1" applyAlignment="1">
      <alignment horizontal="center" vertical="center"/>
    </xf>
    <xf numFmtId="4" fontId="21" fillId="2" borderId="7" xfId="0" applyNumberFormat="1" applyFont="1" applyFill="1" applyBorder="1" applyAlignment="1">
      <alignment horizontal="center" vertical="center"/>
    </xf>
    <xf numFmtId="0" fontId="0" fillId="2" borderId="0" xfId="0" applyFill="1" applyAlignment="1">
      <alignment shrinkToFit="1"/>
    </xf>
    <xf numFmtId="14" fontId="2" fillId="0" borderId="7" xfId="0" quotePrefix="1" applyNumberFormat="1" applyFont="1" applyFill="1" applyBorder="1" applyAlignment="1"/>
    <xf numFmtId="0" fontId="9" fillId="0" borderId="9" xfId="0" applyNumberFormat="1" applyFont="1" applyFill="1" applyBorder="1" applyAlignment="1">
      <alignment horizontal="justify" vertical="center" wrapText="1"/>
    </xf>
    <xf numFmtId="0" fontId="9" fillId="0" borderId="19" xfId="0" applyNumberFormat="1" applyFont="1" applyFill="1" applyBorder="1" applyAlignment="1">
      <alignment horizontal="justify" vertical="center" wrapText="1"/>
    </xf>
    <xf numFmtId="14" fontId="3" fillId="0" borderId="8" xfId="0" applyNumberFormat="1" applyFont="1" applyFill="1" applyBorder="1" applyAlignment="1">
      <alignment vertical="center"/>
    </xf>
    <xf numFmtId="0" fontId="1" fillId="0" borderId="8" xfId="0" applyFont="1" applyFill="1" applyBorder="1" applyAlignment="1">
      <alignment vertical="center"/>
    </xf>
    <xf numFmtId="49" fontId="4" fillId="0" borderId="0" xfId="0" applyNumberFormat="1" applyFont="1" applyFill="1" applyAlignment="1">
      <alignment horizontal="center" vertical="top" wrapText="1"/>
    </xf>
    <xf numFmtId="49" fontId="4" fillId="0" borderId="0" xfId="0" applyNumberFormat="1" applyFont="1" applyFill="1" applyAlignment="1">
      <alignment horizontal="center" vertical="top"/>
    </xf>
    <xf numFmtId="0" fontId="5" fillId="0" borderId="0" xfId="0" applyFont="1" applyFill="1" applyAlignment="1">
      <alignment horizontal="center" vertical="top"/>
    </xf>
    <xf numFmtId="0" fontId="26" fillId="0" borderId="7" xfId="0" quotePrefix="1" applyFont="1" applyFill="1" applyBorder="1" applyAlignment="1">
      <alignment horizontal="center" vertical="center" wrapText="1"/>
    </xf>
    <xf numFmtId="0" fontId="27" fillId="4" borderId="7" xfId="0" applyFont="1" applyFill="1" applyBorder="1"/>
    <xf numFmtId="0" fontId="27" fillId="4" borderId="7" xfId="0" applyNumberFormat="1" applyFont="1" applyFill="1" applyBorder="1"/>
    <xf numFmtId="0" fontId="24" fillId="0" borderId="0" xfId="0" applyFont="1" applyFill="1"/>
    <xf numFmtId="0" fontId="24" fillId="0" borderId="7" xfId="0" applyFont="1" applyFill="1" applyBorder="1" applyAlignment="1">
      <alignment shrinkToFit="1"/>
    </xf>
    <xf numFmtId="14" fontId="24" fillId="0" borderId="7" xfId="0" quotePrefix="1" applyNumberFormat="1" applyFont="1" applyFill="1" applyBorder="1" applyAlignment="1">
      <alignment horizontal="right" shrinkToFit="1"/>
    </xf>
    <xf numFmtId="14" fontId="30" fillId="0" borderId="7" xfId="0" applyNumberFormat="1" applyFont="1" applyFill="1" applyBorder="1" applyAlignment="1">
      <alignment horizontal="right" vertical="center" shrinkToFit="1"/>
    </xf>
    <xf numFmtId="14" fontId="24" fillId="0" borderId="7" xfId="0" applyNumberFormat="1" applyFont="1" applyFill="1" applyBorder="1" applyAlignment="1">
      <alignment shrinkToFit="1"/>
    </xf>
    <xf numFmtId="0" fontId="31" fillId="0" borderId="7" xfId="0" quotePrefix="1" applyFont="1" applyFill="1" applyBorder="1" applyAlignment="1">
      <alignment horizontal="center" vertical="center" wrapText="1"/>
    </xf>
    <xf numFmtId="0" fontId="24" fillId="0" borderId="7" xfId="0" applyFont="1" applyFill="1" applyBorder="1"/>
    <xf numFmtId="0" fontId="24" fillId="0" borderId="7" xfId="0" applyNumberFormat="1" applyFont="1" applyFill="1" applyBorder="1"/>
    <xf numFmtId="0" fontId="31" fillId="0" borderId="7" xfId="0" applyNumberFormat="1" applyFont="1" applyFill="1" applyBorder="1" applyAlignment="1">
      <alignment horizontal="center" vertical="center" wrapText="1"/>
    </xf>
    <xf numFmtId="0" fontId="29" fillId="4" borderId="2" xfId="0" applyFont="1" applyFill="1" applyBorder="1" applyAlignment="1">
      <alignment vertical="center" wrapText="1"/>
    </xf>
    <xf numFmtId="0" fontId="29" fillId="4" borderId="5" xfId="0" applyNumberFormat="1" applyFont="1" applyFill="1" applyBorder="1" applyAlignment="1">
      <alignment horizontal="center" vertical="center" wrapText="1"/>
    </xf>
    <xf numFmtId="0" fontId="29" fillId="4" borderId="7" xfId="0" applyNumberFormat="1" applyFont="1" applyFill="1" applyBorder="1" applyAlignment="1">
      <alignment horizontal="center" vertical="center" wrapText="1"/>
    </xf>
    <xf numFmtId="0" fontId="32" fillId="4" borderId="7" xfId="0" applyNumberFormat="1" applyFont="1" applyFill="1" applyBorder="1" applyAlignment="1">
      <alignment horizontal="center" vertical="center" wrapText="1"/>
    </xf>
    <xf numFmtId="0" fontId="26" fillId="0" borderId="7" xfId="0" applyFont="1" applyFill="1" applyBorder="1" applyAlignment="1">
      <alignment shrinkToFit="1"/>
    </xf>
    <xf numFmtId="14" fontId="26" fillId="0" borderId="7" xfId="0" quotePrefix="1" applyNumberFormat="1" applyFont="1" applyFill="1" applyBorder="1" applyAlignment="1">
      <alignment horizontal="right" shrinkToFit="1"/>
    </xf>
    <xf numFmtId="14" fontId="26" fillId="0" borderId="7" xfId="0" applyNumberFormat="1" applyFont="1" applyFill="1" applyBorder="1" applyAlignment="1">
      <alignment horizontal="right" vertical="center" shrinkToFit="1"/>
    </xf>
    <xf numFmtId="14" fontId="26" fillId="0" borderId="7" xfId="0" applyNumberFormat="1" applyFont="1" applyFill="1" applyBorder="1" applyAlignment="1">
      <alignment shrinkToFit="1"/>
    </xf>
    <xf numFmtId="0" fontId="26" fillId="0" borderId="7" xfId="0" applyFont="1" applyFill="1" applyBorder="1"/>
    <xf numFmtId="0" fontId="26" fillId="0" borderId="7" xfId="0" applyNumberFormat="1" applyFont="1" applyFill="1" applyBorder="1"/>
    <xf numFmtId="0" fontId="29" fillId="4" borderId="2" xfId="0" applyFont="1" applyFill="1" applyBorder="1" applyAlignment="1">
      <alignment horizontal="left"/>
    </xf>
    <xf numFmtId="14" fontId="2" fillId="2" borderId="7" xfId="0" quotePrefix="1" applyNumberFormat="1" applyFont="1" applyFill="1" applyBorder="1" applyAlignment="1"/>
    <xf numFmtId="49" fontId="2" fillId="2" borderId="7" xfId="0" applyNumberFormat="1" applyFont="1" applyFill="1" applyBorder="1" applyAlignment="1"/>
    <xf numFmtId="0" fontId="15" fillId="0" borderId="7" xfId="0" quotePrefix="1" applyNumberFormat="1" applyFont="1" applyFill="1" applyBorder="1" applyAlignment="1">
      <alignment horizontal="center" vertical="center"/>
    </xf>
    <xf numFmtId="14" fontId="23" fillId="0" borderId="2" xfId="0" applyNumberFormat="1" applyFont="1" applyFill="1" applyBorder="1" applyAlignment="1">
      <alignment horizontal="center" vertical="center" shrinkToFit="1"/>
    </xf>
    <xf numFmtId="0" fontId="35" fillId="0" borderId="0" xfId="0" applyFont="1" applyFill="1" applyAlignment="1">
      <alignment shrinkToFit="1"/>
    </xf>
    <xf numFmtId="0" fontId="35" fillId="0" borderId="0" xfId="0" applyFont="1" applyFill="1" applyAlignment="1">
      <alignment horizontal="right" shrinkToFit="1"/>
    </xf>
    <xf numFmtId="14" fontId="37" fillId="0" borderId="0" xfId="0" applyNumberFormat="1" applyFont="1" applyFill="1" applyAlignment="1">
      <alignment shrinkToFit="1"/>
    </xf>
    <xf numFmtId="0" fontId="37" fillId="0" borderId="0" xfId="0" applyFont="1" applyFill="1" applyAlignment="1">
      <alignment shrinkToFit="1"/>
    </xf>
    <xf numFmtId="0" fontId="38" fillId="0" borderId="5" xfId="0" applyFont="1" applyFill="1" applyBorder="1" applyAlignment="1">
      <alignment shrinkToFit="1"/>
    </xf>
    <xf numFmtId="0" fontId="38" fillId="6" borderId="5" xfId="0" applyFont="1" applyFill="1" applyBorder="1" applyAlignment="1">
      <alignment shrinkToFit="1"/>
    </xf>
    <xf numFmtId="167" fontId="38" fillId="0" borderId="5" xfId="0" applyNumberFormat="1" applyFont="1" applyFill="1" applyBorder="1" applyAlignment="1">
      <alignment horizontal="right" shrinkToFit="1"/>
    </xf>
    <xf numFmtId="0" fontId="38" fillId="0" borderId="20" xfId="0" applyFont="1" applyFill="1" applyBorder="1" applyAlignment="1">
      <alignment shrinkToFit="1"/>
    </xf>
    <xf numFmtId="14" fontId="38" fillId="0" borderId="20" xfId="0" applyNumberFormat="1" applyFont="1" applyFill="1" applyBorder="1" applyAlignment="1">
      <alignment horizontal="center" vertical="center" shrinkToFit="1"/>
    </xf>
    <xf numFmtId="14" fontId="38" fillId="0" borderId="20" xfId="0" quotePrefix="1" applyNumberFormat="1" applyFont="1" applyFill="1" applyBorder="1" applyAlignment="1">
      <alignment horizontal="right" vertical="center" shrinkToFit="1"/>
    </xf>
    <xf numFmtId="0" fontId="38" fillId="0" borderId="7" xfId="0" quotePrefix="1" applyNumberFormat="1" applyFont="1" applyFill="1" applyBorder="1" applyAlignment="1">
      <alignment shrinkToFit="1"/>
    </xf>
    <xf numFmtId="0" fontId="38" fillId="0" borderId="20" xfId="0" applyFont="1" applyFill="1" applyBorder="1" applyAlignment="1">
      <alignment horizontal="center" shrinkToFit="1"/>
    </xf>
    <xf numFmtId="0" fontId="38" fillId="0" borderId="5" xfId="0" applyFont="1" applyFill="1" applyBorder="1" applyAlignment="1">
      <alignment horizontal="center" shrinkToFit="1"/>
    </xf>
    <xf numFmtId="0" fontId="38" fillId="0" borderId="7" xfId="0" applyFont="1" applyFill="1" applyBorder="1" applyAlignment="1">
      <alignment shrinkToFit="1"/>
    </xf>
    <xf numFmtId="165" fontId="38" fillId="0" borderId="5" xfId="0" applyNumberFormat="1" applyFont="1" applyFill="1" applyBorder="1" applyAlignment="1">
      <alignment shrinkToFit="1"/>
    </xf>
    <xf numFmtId="14" fontId="38" fillId="0" borderId="5" xfId="0" quotePrefix="1" applyNumberFormat="1" applyFont="1" applyFill="1" applyBorder="1" applyAlignment="1">
      <alignment horizontal="right" shrinkToFit="1"/>
    </xf>
    <xf numFmtId="0" fontId="38" fillId="0" borderId="5" xfId="0" applyFont="1" applyFill="1" applyBorder="1" applyAlignment="1">
      <alignment horizontal="right" shrinkToFit="1"/>
    </xf>
    <xf numFmtId="0" fontId="38" fillId="6" borderId="7" xfId="0" applyFont="1" applyFill="1" applyBorder="1" applyAlignment="1">
      <alignment shrinkToFit="1"/>
    </xf>
    <xf numFmtId="167" fontId="38" fillId="0" borderId="7" xfId="0" applyNumberFormat="1" applyFont="1" applyFill="1" applyBorder="1" applyAlignment="1">
      <alignment horizontal="right" shrinkToFit="1"/>
    </xf>
    <xf numFmtId="14" fontId="38" fillId="0" borderId="7" xfId="0" applyNumberFormat="1" applyFont="1" applyFill="1" applyBorder="1" applyAlignment="1">
      <alignment horizontal="center" vertical="center" shrinkToFit="1"/>
    </xf>
    <xf numFmtId="14" fontId="38" fillId="0" borderId="7" xfId="0" quotePrefix="1" applyNumberFormat="1" applyFont="1" applyFill="1" applyBorder="1" applyAlignment="1">
      <alignment horizontal="right" vertical="center" shrinkToFit="1"/>
    </xf>
    <xf numFmtId="0" fontId="38" fillId="0" borderId="7" xfId="0" applyFont="1" applyFill="1" applyBorder="1" applyAlignment="1">
      <alignment horizontal="center" shrinkToFit="1"/>
    </xf>
    <xf numFmtId="165" fontId="38" fillId="0" borderId="7" xfId="0" applyNumberFormat="1" applyFont="1" applyFill="1" applyBorder="1" applyAlignment="1">
      <alignment shrinkToFit="1"/>
    </xf>
    <xf numFmtId="14" fontId="38" fillId="0" borderId="7" xfId="0" quotePrefix="1" applyNumberFormat="1" applyFont="1" applyFill="1" applyBorder="1" applyAlignment="1">
      <alignment horizontal="right" shrinkToFit="1"/>
    </xf>
    <xf numFmtId="0" fontId="38" fillId="0" borderId="7" xfId="0" applyFont="1" applyFill="1" applyBorder="1" applyAlignment="1">
      <alignment horizontal="right" shrinkToFit="1"/>
    </xf>
    <xf numFmtId="0" fontId="38" fillId="0" borderId="7" xfId="0" applyNumberFormat="1" applyFont="1" applyFill="1" applyBorder="1" applyAlignment="1">
      <alignment horizontal="center" vertical="center" shrinkToFit="1"/>
    </xf>
    <xf numFmtId="0" fontId="38" fillId="0" borderId="7" xfId="0" quotePrefix="1" applyFont="1" applyFill="1" applyBorder="1" applyAlignment="1">
      <alignment shrinkToFit="1"/>
    </xf>
    <xf numFmtId="0" fontId="38" fillId="0" borderId="6" xfId="0" applyFont="1" applyFill="1" applyBorder="1" applyAlignment="1">
      <alignment shrinkToFit="1"/>
    </xf>
    <xf numFmtId="0" fontId="38" fillId="6" borderId="6" xfId="0" applyFont="1" applyFill="1" applyBorder="1" applyAlignment="1">
      <alignment shrinkToFit="1"/>
    </xf>
    <xf numFmtId="167" fontId="38" fillId="0" borderId="6" xfId="0" applyNumberFormat="1" applyFont="1" applyFill="1" applyBorder="1" applyAlignment="1">
      <alignment horizontal="right" shrinkToFit="1"/>
    </xf>
    <xf numFmtId="14" fontId="38" fillId="0" borderId="6" xfId="0" applyNumberFormat="1" applyFont="1" applyFill="1" applyBorder="1" applyAlignment="1">
      <alignment horizontal="center" vertical="center" shrinkToFit="1"/>
    </xf>
    <xf numFmtId="14" fontId="38" fillId="0" borderId="6" xfId="0" quotePrefix="1" applyNumberFormat="1" applyFont="1" applyFill="1" applyBorder="1" applyAlignment="1">
      <alignment horizontal="right" shrinkToFit="1"/>
    </xf>
    <xf numFmtId="0" fontId="38" fillId="0" borderId="6" xfId="0" quotePrefix="1" applyNumberFormat="1" applyFont="1" applyFill="1" applyBorder="1" applyAlignment="1">
      <alignment shrinkToFit="1"/>
    </xf>
    <xf numFmtId="0" fontId="38" fillId="0" borderId="6" xfId="0" applyFont="1" applyFill="1" applyBorder="1" applyAlignment="1">
      <alignment horizontal="center" shrinkToFit="1"/>
    </xf>
    <xf numFmtId="165" fontId="38" fillId="0" borderId="6" xfId="0" applyNumberFormat="1" applyFont="1" applyFill="1" applyBorder="1" applyAlignment="1">
      <alignment shrinkToFit="1"/>
    </xf>
    <xf numFmtId="0" fontId="38" fillId="0" borderId="6" xfId="0" applyFont="1" applyFill="1" applyBorder="1" applyAlignment="1">
      <alignment horizontal="right" shrinkToFit="1"/>
    </xf>
    <xf numFmtId="0" fontId="27" fillId="0" borderId="20" xfId="0" applyFont="1" applyFill="1" applyBorder="1" applyAlignment="1">
      <alignment shrinkToFit="1"/>
    </xf>
    <xf numFmtId="0" fontId="39" fillId="3" borderId="20" xfId="0" applyFont="1" applyFill="1" applyBorder="1" applyAlignment="1">
      <alignment shrinkToFit="1"/>
    </xf>
    <xf numFmtId="167" fontId="27" fillId="0" borderId="20" xfId="0" applyNumberFormat="1" applyFont="1" applyFill="1" applyBorder="1" applyAlignment="1">
      <alignment horizontal="right" shrinkToFit="1"/>
    </xf>
    <xf numFmtId="14" fontId="27" fillId="0" borderId="20" xfId="0" applyNumberFormat="1" applyFont="1" applyFill="1" applyBorder="1" applyAlignment="1">
      <alignment horizontal="center" vertical="center" shrinkToFit="1"/>
    </xf>
    <xf numFmtId="14" fontId="27" fillId="0" borderId="20" xfId="0" quotePrefix="1" applyNumberFormat="1" applyFont="1" applyFill="1" applyBorder="1" applyAlignment="1">
      <alignment horizontal="right" shrinkToFit="1"/>
    </xf>
    <xf numFmtId="0" fontId="27" fillId="0" borderId="20" xfId="0" quotePrefix="1" applyNumberFormat="1" applyFont="1" applyFill="1" applyBorder="1" applyAlignment="1">
      <alignment shrinkToFit="1"/>
    </xf>
    <xf numFmtId="0" fontId="27" fillId="0" borderId="20" xfId="0" applyFont="1" applyFill="1" applyBorder="1" applyAlignment="1">
      <alignment horizontal="center" shrinkToFit="1"/>
    </xf>
    <xf numFmtId="14" fontId="27" fillId="0" borderId="20" xfId="0" quotePrefix="1" applyNumberFormat="1" applyFont="1" applyFill="1" applyBorder="1" applyAlignment="1">
      <alignment horizontal="center" vertical="center" shrinkToFit="1"/>
    </xf>
    <xf numFmtId="165" fontId="27" fillId="0" borderId="20" xfId="0" applyNumberFormat="1" applyFont="1" applyFill="1" applyBorder="1" applyAlignment="1">
      <alignment shrinkToFit="1"/>
    </xf>
    <xf numFmtId="0" fontId="27" fillId="0" borderId="20" xfId="0" applyFont="1" applyFill="1" applyBorder="1" applyAlignment="1">
      <alignment horizontal="right" shrinkToFit="1"/>
    </xf>
    <xf numFmtId="0" fontId="27" fillId="0" borderId="20" xfId="0" quotePrefix="1" applyFont="1" applyFill="1" applyBorder="1" applyAlignment="1">
      <alignment shrinkToFit="1"/>
    </xf>
    <xf numFmtId="0" fontId="27" fillId="0" borderId="7" xfId="0" applyFont="1" applyFill="1" applyBorder="1" applyAlignment="1">
      <alignment shrinkToFit="1"/>
    </xf>
    <xf numFmtId="0" fontId="39" fillId="3" borderId="7" xfId="0" applyFont="1" applyFill="1" applyBorder="1" applyAlignment="1">
      <alignment shrinkToFit="1"/>
    </xf>
    <xf numFmtId="167" fontId="27" fillId="0" borderId="7" xfId="0" applyNumberFormat="1" applyFont="1" applyFill="1" applyBorder="1" applyAlignment="1">
      <alignment horizontal="right" shrinkToFit="1"/>
    </xf>
    <xf numFmtId="14" fontId="27" fillId="0" borderId="7" xfId="0" applyNumberFormat="1" applyFont="1" applyFill="1" applyBorder="1" applyAlignment="1">
      <alignment horizontal="center" vertical="center" shrinkToFit="1"/>
    </xf>
    <xf numFmtId="14" fontId="27" fillId="0" borderId="7" xfId="0" quotePrefix="1" applyNumberFormat="1" applyFont="1" applyFill="1" applyBorder="1" applyAlignment="1">
      <alignment horizontal="right" shrinkToFit="1"/>
    </xf>
    <xf numFmtId="0" fontId="27" fillId="0" borderId="7" xfId="0" quotePrefix="1" applyNumberFormat="1" applyFont="1" applyFill="1" applyBorder="1" applyAlignment="1">
      <alignment shrinkToFit="1"/>
    </xf>
    <xf numFmtId="0" fontId="27" fillId="0" borderId="7" xfId="0" applyFont="1" applyFill="1" applyBorder="1" applyAlignment="1">
      <alignment horizontal="center" shrinkToFit="1"/>
    </xf>
    <xf numFmtId="14" fontId="27" fillId="0" borderId="7" xfId="0" quotePrefix="1" applyNumberFormat="1" applyFont="1" applyFill="1" applyBorder="1" applyAlignment="1">
      <alignment horizontal="center" vertical="center" shrinkToFit="1"/>
    </xf>
    <xf numFmtId="165" fontId="27" fillId="0" borderId="7" xfId="0" applyNumberFormat="1" applyFont="1" applyFill="1" applyBorder="1" applyAlignment="1">
      <alignment shrinkToFit="1"/>
    </xf>
    <xf numFmtId="0" fontId="27" fillId="0" borderId="7" xfId="0" applyFont="1" applyFill="1" applyBorder="1" applyAlignment="1">
      <alignment horizontal="right" shrinkToFit="1"/>
    </xf>
    <xf numFmtId="0" fontId="27" fillId="0" borderId="7" xfId="0" quotePrefix="1" applyFont="1" applyFill="1" applyBorder="1" applyAlignment="1">
      <alignment shrinkToFit="1"/>
    </xf>
    <xf numFmtId="0" fontId="27" fillId="0" borderId="6" xfId="0" applyFont="1" applyFill="1" applyBorder="1" applyAlignment="1">
      <alignment shrinkToFit="1"/>
    </xf>
    <xf numFmtId="0" fontId="39" fillId="3" borderId="6" xfId="0" applyFont="1" applyFill="1" applyBorder="1" applyAlignment="1">
      <alignment shrinkToFit="1"/>
    </xf>
    <xf numFmtId="167" fontId="27" fillId="0" borderId="6" xfId="0" applyNumberFormat="1" applyFont="1" applyFill="1" applyBorder="1" applyAlignment="1">
      <alignment horizontal="right" shrinkToFit="1"/>
    </xf>
    <xf numFmtId="14" fontId="27" fillId="0" borderId="6" xfId="0" applyNumberFormat="1" applyFont="1" applyFill="1" applyBorder="1" applyAlignment="1">
      <alignment horizontal="center" vertical="center" shrinkToFit="1"/>
    </xf>
    <xf numFmtId="14" fontId="27" fillId="0" borderId="6" xfId="0" quotePrefix="1" applyNumberFormat="1" applyFont="1" applyFill="1" applyBorder="1" applyAlignment="1">
      <alignment horizontal="right" shrinkToFit="1"/>
    </xf>
    <xf numFmtId="0" fontId="27" fillId="0" borderId="6" xfId="0" quotePrefix="1" applyNumberFormat="1" applyFont="1" applyFill="1" applyBorder="1" applyAlignment="1">
      <alignment shrinkToFit="1"/>
    </xf>
    <xf numFmtId="0" fontId="27" fillId="0" borderId="6" xfId="0" applyFont="1" applyFill="1" applyBorder="1" applyAlignment="1">
      <alignment horizontal="center" shrinkToFit="1"/>
    </xf>
    <xf numFmtId="165" fontId="27" fillId="0" borderId="6" xfId="0" applyNumberFormat="1" applyFont="1" applyFill="1" applyBorder="1" applyAlignment="1">
      <alignment shrinkToFit="1"/>
    </xf>
    <xf numFmtId="0" fontId="27" fillId="0" borderId="6" xfId="0" applyFont="1" applyFill="1" applyBorder="1" applyAlignment="1">
      <alignment horizontal="right" shrinkToFit="1"/>
    </xf>
    <xf numFmtId="0" fontId="38" fillId="6" borderId="20" xfId="0" applyFont="1" applyFill="1" applyBorder="1" applyAlignment="1">
      <alignment shrinkToFit="1"/>
    </xf>
    <xf numFmtId="167" fontId="38" fillId="0" borderId="20" xfId="0" applyNumberFormat="1" applyFont="1" applyFill="1" applyBorder="1" applyAlignment="1">
      <alignment horizontal="right" shrinkToFit="1"/>
    </xf>
    <xf numFmtId="14" fontId="38" fillId="0" borderId="20" xfId="0" quotePrefix="1" applyNumberFormat="1" applyFont="1" applyFill="1" applyBorder="1" applyAlignment="1">
      <alignment horizontal="right" shrinkToFit="1"/>
    </xf>
    <xf numFmtId="0" fontId="38" fillId="0" borderId="20" xfId="0" quotePrefix="1" applyNumberFormat="1" applyFont="1" applyFill="1" applyBorder="1" applyAlignment="1">
      <alignment shrinkToFit="1"/>
    </xf>
    <xf numFmtId="165" fontId="38" fillId="0" borderId="20" xfId="0" applyNumberFormat="1" applyFont="1" applyFill="1" applyBorder="1" applyAlignment="1">
      <alignment shrinkToFit="1"/>
    </xf>
    <xf numFmtId="0" fontId="38" fillId="0" borderId="20" xfId="0" applyFont="1" applyFill="1" applyBorder="1" applyAlignment="1">
      <alignment horizontal="right" shrinkToFit="1"/>
    </xf>
    <xf numFmtId="3" fontId="38" fillId="0" borderId="7" xfId="0" applyNumberFormat="1" applyFont="1" applyFill="1" applyBorder="1" applyAlignment="1">
      <alignment horizontal="right" shrinkToFit="1"/>
    </xf>
    <xf numFmtId="14" fontId="38" fillId="0" borderId="7" xfId="0" applyNumberFormat="1" applyFont="1" applyFill="1" applyBorder="1" applyAlignment="1">
      <alignment shrinkToFit="1"/>
    </xf>
    <xf numFmtId="0" fontId="39" fillId="0" borderId="20" xfId="0" applyFont="1" applyFill="1" applyBorder="1" applyAlignment="1">
      <alignment shrinkToFit="1"/>
    </xf>
    <xf numFmtId="0" fontId="39" fillId="0" borderId="7" xfId="0" applyFont="1" applyFill="1" applyBorder="1" applyAlignment="1">
      <alignment shrinkToFit="1"/>
    </xf>
    <xf numFmtId="14" fontId="27" fillId="0" borderId="7" xfId="0" quotePrefix="1" applyNumberFormat="1" applyFont="1" applyFill="1" applyBorder="1" applyAlignment="1">
      <alignment horizontal="right" vertical="center" shrinkToFit="1"/>
    </xf>
    <xf numFmtId="3" fontId="27" fillId="0" borderId="7" xfId="0" applyNumberFormat="1" applyFont="1" applyFill="1" applyBorder="1" applyAlignment="1">
      <alignment horizontal="right" shrinkToFit="1"/>
    </xf>
    <xf numFmtId="14" fontId="27" fillId="0" borderId="6" xfId="0" quotePrefix="1" applyNumberFormat="1" applyFont="1" applyFill="1" applyBorder="1" applyAlignment="1">
      <alignment horizontal="right" vertical="center" shrinkToFit="1"/>
    </xf>
    <xf numFmtId="14" fontId="27" fillId="0" borderId="20" xfId="0" quotePrefix="1" applyNumberFormat="1" applyFont="1" applyFill="1" applyBorder="1" applyAlignment="1">
      <alignment horizontal="right" vertical="center" shrinkToFit="1"/>
    </xf>
    <xf numFmtId="0" fontId="27" fillId="0" borderId="7" xfId="0" quotePrefix="1" applyFont="1" applyFill="1" applyBorder="1" applyAlignment="1">
      <alignment horizontal="right" shrinkToFit="1"/>
    </xf>
    <xf numFmtId="14" fontId="27" fillId="0" borderId="7" xfId="0" applyNumberFormat="1" applyFont="1" applyFill="1" applyBorder="1" applyAlignment="1">
      <alignment shrinkToFit="1"/>
    </xf>
    <xf numFmtId="0" fontId="40" fillId="0" borderId="7" xfId="0" applyFont="1" applyFill="1" applyBorder="1" applyAlignment="1">
      <alignment shrinkToFit="1"/>
    </xf>
    <xf numFmtId="0" fontId="41" fillId="0" borderId="7" xfId="0" applyFont="1" applyFill="1" applyBorder="1" applyAlignment="1">
      <alignment shrinkToFit="1"/>
    </xf>
    <xf numFmtId="0" fontId="27" fillId="0" borderId="6" xfId="0" quotePrefix="1" applyFont="1" applyFill="1" applyBorder="1" applyAlignment="1">
      <alignment horizontal="right" shrinkToFit="1"/>
    </xf>
    <xf numFmtId="0" fontId="27" fillId="0" borderId="6" xfId="0" quotePrefix="1" applyFont="1" applyFill="1" applyBorder="1" applyAlignment="1">
      <alignment shrinkToFit="1"/>
    </xf>
    <xf numFmtId="0" fontId="38" fillId="0" borderId="20" xfId="0" quotePrefix="1" applyFont="1" applyFill="1" applyBorder="1" applyAlignment="1">
      <alignment shrinkToFit="1"/>
    </xf>
    <xf numFmtId="0" fontId="38" fillId="0" borderId="7" xfId="0" quotePrefix="1" applyNumberFormat="1" applyFont="1" applyFill="1" applyBorder="1" applyAlignment="1">
      <alignment horizontal="right" shrinkToFit="1"/>
    </xf>
    <xf numFmtId="14" fontId="27" fillId="0" borderId="20" xfId="0" applyNumberFormat="1" applyFont="1" applyFill="1" applyBorder="1" applyAlignment="1">
      <alignment horizontal="right" vertical="center" shrinkToFit="1"/>
    </xf>
    <xf numFmtId="14" fontId="27" fillId="0" borderId="7" xfId="0" applyNumberFormat="1" applyFont="1" applyFill="1" applyBorder="1" applyAlignment="1">
      <alignment horizontal="right" vertical="center" shrinkToFit="1"/>
    </xf>
    <xf numFmtId="49" fontId="28" fillId="5" borderId="2" xfId="0" applyNumberFormat="1" applyFont="1" applyFill="1" applyBorder="1" applyAlignment="1">
      <alignment horizontal="center" vertical="center" shrinkToFit="1"/>
    </xf>
    <xf numFmtId="49" fontId="28" fillId="5" borderId="4" xfId="0" applyNumberFormat="1" applyFont="1" applyFill="1" applyBorder="1" applyAlignment="1">
      <alignment horizontal="center" vertical="center" shrinkToFit="1"/>
    </xf>
    <xf numFmtId="49" fontId="28" fillId="5" borderId="3" xfId="0" applyNumberFormat="1" applyFont="1" applyFill="1" applyBorder="1" applyAlignment="1">
      <alignment horizontal="center" vertical="center" shrinkToFit="1"/>
    </xf>
    <xf numFmtId="14" fontId="28" fillId="5" borderId="2" xfId="0" applyNumberFormat="1" applyFont="1" applyFill="1" applyBorder="1" applyAlignment="1">
      <alignment horizontal="center" vertical="center" shrinkToFit="1"/>
    </xf>
    <xf numFmtId="0" fontId="28" fillId="5" borderId="2" xfId="0" applyNumberFormat="1" applyFont="1" applyFill="1" applyBorder="1" applyAlignment="1">
      <alignment horizontal="center" vertical="center" shrinkToFit="1"/>
    </xf>
    <xf numFmtId="0" fontId="35" fillId="7" borderId="14" xfId="0" applyFont="1" applyFill="1" applyBorder="1" applyAlignment="1">
      <alignment shrinkToFit="1"/>
    </xf>
    <xf numFmtId="0" fontId="37" fillId="7" borderId="3" xfId="0" quotePrefix="1" applyFont="1" applyFill="1" applyBorder="1" applyAlignment="1">
      <alignment shrinkToFit="1"/>
    </xf>
    <xf numFmtId="0" fontId="35" fillId="7" borderId="15" xfId="0" applyFont="1" applyFill="1" applyBorder="1" applyAlignment="1">
      <alignment shrinkToFit="1"/>
    </xf>
    <xf numFmtId="0" fontId="36" fillId="10" borderId="1" xfId="0" applyNumberFormat="1" applyFont="1" applyFill="1" applyBorder="1" applyAlignment="1">
      <alignment horizontal="center" vertical="center" wrapText="1"/>
    </xf>
    <xf numFmtId="49" fontId="36" fillId="10" borderId="1" xfId="0" applyNumberFormat="1" applyFont="1" applyFill="1" applyBorder="1" applyAlignment="1">
      <alignment horizontal="center" vertical="center" wrapText="1"/>
    </xf>
    <xf numFmtId="49" fontId="36" fillId="10" borderId="2" xfId="0" applyNumberFormat="1" applyFont="1" applyFill="1" applyBorder="1" applyAlignment="1">
      <alignment horizontal="center" vertical="center" wrapText="1"/>
    </xf>
    <xf numFmtId="49" fontId="36" fillId="10" borderId="1" xfId="0" applyNumberFormat="1" applyFont="1" applyFill="1" applyBorder="1" applyAlignment="1">
      <alignment horizontal="right" vertical="center" wrapText="1"/>
    </xf>
    <xf numFmtId="0" fontId="35" fillId="7" borderId="16" xfId="0" applyFont="1" applyFill="1" applyBorder="1" applyAlignment="1">
      <alignment shrinkToFit="1"/>
    </xf>
    <xf numFmtId="0" fontId="35" fillId="7" borderId="17" xfId="0" applyFont="1" applyFill="1" applyBorder="1" applyAlignment="1">
      <alignment shrinkToFit="1"/>
    </xf>
    <xf numFmtId="0" fontId="35" fillId="7" borderId="3" xfId="0" applyFont="1" applyFill="1" applyBorder="1" applyAlignment="1">
      <alignment shrinkToFit="1"/>
    </xf>
    <xf numFmtId="0" fontId="35" fillId="7" borderId="18" xfId="0" applyFont="1" applyFill="1" applyBorder="1" applyAlignment="1">
      <alignment shrinkToFit="1"/>
    </xf>
    <xf numFmtId="0" fontId="35" fillId="7" borderId="24" xfId="0" applyFont="1" applyFill="1" applyBorder="1" applyAlignment="1">
      <alignment shrinkToFit="1"/>
    </xf>
    <xf numFmtId="0" fontId="35" fillId="7" borderId="13" xfId="0" applyFont="1" applyFill="1" applyBorder="1" applyAlignment="1">
      <alignment shrinkToFit="1"/>
    </xf>
    <xf numFmtId="0" fontId="27" fillId="2" borderId="7" xfId="0" applyFont="1" applyFill="1" applyBorder="1" applyAlignment="1">
      <alignment shrinkToFit="1"/>
    </xf>
    <xf numFmtId="0" fontId="38" fillId="2" borderId="7" xfId="0" applyFont="1" applyFill="1" applyBorder="1" applyAlignment="1">
      <alignment shrinkToFit="1"/>
    </xf>
    <xf numFmtId="0" fontId="38" fillId="9" borderId="20" xfId="0" applyFont="1" applyFill="1" applyBorder="1" applyAlignment="1">
      <alignment shrinkToFit="1"/>
    </xf>
    <xf numFmtId="0" fontId="39" fillId="9" borderId="7" xfId="0" applyFont="1" applyFill="1" applyBorder="1" applyAlignment="1">
      <alignment horizontal="center" shrinkToFit="1"/>
    </xf>
    <xf numFmtId="0" fontId="39" fillId="9" borderId="20" xfId="0" applyFont="1" applyFill="1" applyBorder="1" applyAlignment="1">
      <alignment horizontal="center" shrinkToFit="1"/>
    </xf>
    <xf numFmtId="0" fontId="27" fillId="8" borderId="7" xfId="0" applyFont="1" applyFill="1" applyBorder="1" applyAlignment="1">
      <alignment shrinkToFit="1"/>
    </xf>
    <xf numFmtId="0" fontId="38" fillId="0" borderId="7" xfId="0" quotePrefix="1" applyFont="1" applyFill="1" applyBorder="1" applyAlignment="1">
      <alignment horizontal="right" shrinkToFit="1"/>
    </xf>
    <xf numFmtId="0" fontId="28" fillId="5" borderId="2" xfId="0" applyNumberFormat="1" applyFont="1" applyFill="1" applyBorder="1" applyAlignment="1">
      <alignment horizontal="center" vertical="center" shrinkToFit="1"/>
    </xf>
    <xf numFmtId="49" fontId="28" fillId="5" borderId="2" xfId="0" applyNumberFormat="1" applyFont="1" applyFill="1" applyBorder="1" applyAlignment="1">
      <alignment horizontal="center" vertical="center" shrinkToFit="1"/>
    </xf>
    <xf numFmtId="49" fontId="28" fillId="5" borderId="3" xfId="0" applyNumberFormat="1" applyFont="1" applyFill="1" applyBorder="1" applyAlignment="1">
      <alignment horizontal="center" vertical="center" shrinkToFit="1"/>
    </xf>
    <xf numFmtId="14" fontId="28" fillId="5" borderId="2" xfId="0" applyNumberFormat="1" applyFont="1" applyFill="1" applyBorder="1" applyAlignment="1">
      <alignment horizontal="center" vertical="center" shrinkToFit="1"/>
    </xf>
    <xf numFmtId="49" fontId="28" fillId="5" borderId="4" xfId="0" applyNumberFormat="1" applyFont="1" applyFill="1" applyBorder="1" applyAlignment="1">
      <alignment horizontal="center" vertical="center" shrinkToFit="1"/>
    </xf>
    <xf numFmtId="49" fontId="28" fillId="5" borderId="3" xfId="0" applyNumberFormat="1" applyFont="1" applyFill="1" applyBorder="1" applyAlignment="1">
      <alignment horizontal="center" vertical="center" shrinkToFit="1"/>
    </xf>
    <xf numFmtId="49" fontId="28" fillId="5" borderId="4" xfId="0" applyNumberFormat="1" applyFont="1" applyFill="1" applyBorder="1" applyAlignment="1">
      <alignment horizontal="center" vertical="center" shrinkToFit="1"/>
    </xf>
    <xf numFmtId="0" fontId="28" fillId="5" borderId="2" xfId="0" applyNumberFormat="1" applyFont="1" applyFill="1" applyBorder="1" applyAlignment="1">
      <alignment horizontal="center" vertical="center" shrinkToFit="1"/>
    </xf>
    <xf numFmtId="14" fontId="28" fillId="5" borderId="2" xfId="0" applyNumberFormat="1" applyFont="1" applyFill="1" applyBorder="1" applyAlignment="1">
      <alignment horizontal="center" vertical="center" shrinkToFit="1"/>
    </xf>
    <xf numFmtId="49" fontId="28" fillId="5" borderId="2" xfId="0" applyNumberFormat="1" applyFont="1" applyFill="1" applyBorder="1" applyAlignment="1">
      <alignment horizontal="center" vertical="center" shrinkToFit="1"/>
    </xf>
    <xf numFmtId="0" fontId="38" fillId="0" borderId="20" xfId="0" applyNumberFormat="1" applyFont="1" applyFill="1" applyBorder="1" applyAlignment="1">
      <alignment horizontal="center" vertical="center" shrinkToFit="1"/>
    </xf>
    <xf numFmtId="0" fontId="38" fillId="0" borderId="6" xfId="0" applyNumberFormat="1" applyFont="1" applyFill="1" applyBorder="1" applyAlignment="1">
      <alignment horizontal="center" vertical="center" shrinkToFit="1"/>
    </xf>
    <xf numFmtId="49" fontId="4" fillId="0" borderId="0" xfId="0" applyNumberFormat="1" applyFont="1" applyFill="1" applyAlignment="1">
      <alignment horizontal="center" vertical="top"/>
    </xf>
    <xf numFmtId="0" fontId="27" fillId="0" borderId="8" xfId="0" applyFont="1" applyFill="1" applyBorder="1" applyAlignment="1">
      <alignment shrinkToFit="1"/>
    </xf>
    <xf numFmtId="0" fontId="39" fillId="0" borderId="8" xfId="0" applyFont="1" applyFill="1" applyBorder="1" applyAlignment="1">
      <alignment shrinkToFit="1"/>
    </xf>
    <xf numFmtId="0" fontId="28" fillId="2" borderId="2" xfId="0" applyNumberFormat="1" applyFont="1" applyFill="1" applyBorder="1" applyAlignment="1">
      <alignment shrinkToFit="1"/>
    </xf>
    <xf numFmtId="14" fontId="38" fillId="0" borderId="3" xfId="0" applyNumberFormat="1" applyFont="1" applyFill="1" applyBorder="1" applyAlignment="1">
      <alignment horizontal="center" vertical="center" shrinkToFit="1"/>
    </xf>
    <xf numFmtId="0" fontId="38" fillId="0" borderId="8" xfId="0" quotePrefix="1" applyNumberFormat="1" applyFont="1" applyFill="1" applyBorder="1" applyAlignment="1">
      <alignment shrinkToFit="1"/>
    </xf>
    <xf numFmtId="0" fontId="38" fillId="0" borderId="3" xfId="0" applyNumberFormat="1" applyFont="1" applyFill="1" applyBorder="1" applyAlignment="1">
      <alignment horizontal="center" vertical="center" shrinkToFit="1"/>
    </xf>
    <xf numFmtId="0" fontId="38" fillId="2" borderId="2" xfId="0" applyNumberFormat="1" applyFont="1" applyFill="1" applyBorder="1" applyAlignment="1">
      <alignment horizontal="center" vertical="center" shrinkToFit="1"/>
    </xf>
    <xf numFmtId="0" fontId="38" fillId="2" borderId="2" xfId="0" quotePrefix="1" applyNumberFormat="1" applyFont="1" applyFill="1" applyBorder="1" applyAlignment="1">
      <alignment shrinkToFit="1"/>
    </xf>
    <xf numFmtId="0" fontId="38" fillId="0" borderId="8" xfId="0" applyFont="1" applyFill="1" applyBorder="1" applyAlignment="1">
      <alignment shrinkToFit="1"/>
    </xf>
    <xf numFmtId="0" fontId="38" fillId="2" borderId="2" xfId="0" applyNumberFormat="1" applyFont="1" applyFill="1" applyBorder="1" applyAlignment="1">
      <alignment shrinkToFit="1"/>
    </xf>
    <xf numFmtId="0" fontId="39" fillId="2" borderId="2" xfId="0" applyNumberFormat="1" applyFont="1" applyFill="1" applyBorder="1" applyAlignment="1">
      <alignment shrinkToFit="1"/>
    </xf>
    <xf numFmtId="0" fontId="27" fillId="2" borderId="2" xfId="0" applyNumberFormat="1" applyFont="1" applyFill="1" applyBorder="1" applyAlignment="1">
      <alignment shrinkToFit="1"/>
    </xf>
    <xf numFmtId="0" fontId="27" fillId="2" borderId="6" xfId="0" applyNumberFormat="1" applyFont="1" applyFill="1" applyBorder="1" applyAlignment="1">
      <alignment shrinkToFit="1"/>
    </xf>
    <xf numFmtId="0" fontId="39" fillId="2" borderId="6" xfId="0" applyNumberFormat="1" applyFont="1" applyFill="1" applyBorder="1" applyAlignment="1">
      <alignment shrinkToFit="1"/>
    </xf>
    <xf numFmtId="0" fontId="27" fillId="2" borderId="6" xfId="0" applyNumberFormat="1" applyFont="1" applyFill="1" applyBorder="1" applyAlignment="1">
      <alignment horizontal="right" shrinkToFit="1"/>
    </xf>
    <xf numFmtId="0" fontId="27" fillId="2" borderId="6" xfId="0" applyNumberFormat="1" applyFont="1" applyFill="1" applyBorder="1" applyAlignment="1">
      <alignment horizontal="center" vertical="center" shrinkToFit="1"/>
    </xf>
    <xf numFmtId="0" fontId="27" fillId="2" borderId="6" xfId="0" applyNumberFormat="1" applyFont="1" applyFill="1" applyBorder="1" applyAlignment="1">
      <alignment horizontal="right" vertical="center" shrinkToFit="1"/>
    </xf>
    <xf numFmtId="0" fontId="27" fillId="2" borderId="6" xfId="0" applyNumberFormat="1" applyFont="1" applyFill="1" applyBorder="1" applyAlignment="1">
      <alignment horizontal="center" shrinkToFit="1"/>
    </xf>
    <xf numFmtId="0" fontId="15" fillId="0" borderId="5" xfId="0" applyFont="1" applyBorder="1" applyAlignment="1">
      <alignment shrinkToFit="1"/>
    </xf>
    <xf numFmtId="0" fontId="17" fillId="3" borderId="5" xfId="0" applyFont="1" applyFill="1" applyBorder="1" applyAlignment="1">
      <alignment shrinkToFit="1"/>
    </xf>
    <xf numFmtId="0" fontId="15" fillId="0" borderId="7" xfId="0" applyFont="1" applyBorder="1" applyAlignment="1">
      <alignment shrinkToFit="1"/>
    </xf>
    <xf numFmtId="0" fontId="17" fillId="3" borderId="7" xfId="0" applyFont="1" applyFill="1" applyBorder="1" applyAlignment="1">
      <alignment shrinkToFit="1"/>
    </xf>
    <xf numFmtId="0" fontId="15" fillId="0" borderId="6" xfId="0" applyFont="1" applyBorder="1" applyAlignment="1">
      <alignment shrinkToFit="1"/>
    </xf>
    <xf numFmtId="0" fontId="17" fillId="3" borderId="6" xfId="0" applyFont="1" applyFill="1" applyBorder="1" applyAlignment="1">
      <alignment shrinkToFit="1"/>
    </xf>
    <xf numFmtId="0" fontId="2" fillId="9" borderId="5" xfId="0" applyFont="1" applyFill="1" applyBorder="1" applyAlignment="1">
      <alignment shrinkToFit="1"/>
    </xf>
    <xf numFmtId="0" fontId="2" fillId="9" borderId="7" xfId="0" applyFont="1" applyFill="1" applyBorder="1" applyAlignment="1">
      <alignment shrinkToFit="1"/>
    </xf>
    <xf numFmtId="0" fontId="2" fillId="9" borderId="6" xfId="0" applyFont="1" applyFill="1" applyBorder="1" applyAlignment="1">
      <alignment shrinkToFit="1"/>
    </xf>
    <xf numFmtId="0" fontId="20" fillId="9" borderId="2" xfId="0" applyFont="1" applyFill="1" applyBorder="1" applyAlignment="1">
      <alignment horizontal="center" wrapText="1" shrinkToFit="1"/>
    </xf>
    <xf numFmtId="0" fontId="14" fillId="9" borderId="2" xfId="0" applyFont="1" applyFill="1" applyBorder="1" applyAlignment="1">
      <alignment horizontal="center" shrinkToFit="1"/>
    </xf>
    <xf numFmtId="0" fontId="20" fillId="9" borderId="5" xfId="0" applyFont="1" applyFill="1" applyBorder="1" applyAlignment="1">
      <alignment horizontal="center" wrapText="1" shrinkToFit="1"/>
    </xf>
    <xf numFmtId="0" fontId="14" fillId="9" borderId="5" xfId="0" applyFont="1" applyFill="1" applyBorder="1" applyAlignment="1">
      <alignment horizontal="center" shrinkToFit="1"/>
    </xf>
    <xf numFmtId="0" fontId="14" fillId="0" borderId="0" xfId="0" applyFont="1" applyFill="1" applyBorder="1" applyAlignment="1">
      <alignment horizontal="center" shrinkToFit="1"/>
    </xf>
    <xf numFmtId="0" fontId="17" fillId="0" borderId="0" xfId="0" applyFont="1" applyFill="1" applyBorder="1" applyAlignment="1">
      <alignment shrinkToFit="1"/>
    </xf>
    <xf numFmtId="0" fontId="16" fillId="9" borderId="2" xfId="0" applyFont="1" applyFill="1" applyBorder="1" applyAlignment="1">
      <alignment horizontal="center" wrapText="1" shrinkToFit="1"/>
    </xf>
    <xf numFmtId="0" fontId="16" fillId="9" borderId="5" xfId="0" applyFont="1" applyFill="1" applyBorder="1" applyAlignment="1">
      <alignment horizontal="center" wrapText="1" shrinkToFit="1"/>
    </xf>
    <xf numFmtId="0" fontId="21" fillId="2" borderId="5" xfId="0" applyFont="1" applyFill="1" applyBorder="1" applyAlignment="1">
      <alignment shrinkToFit="1"/>
    </xf>
    <xf numFmtId="0" fontId="21" fillId="2" borderId="7" xfId="0" applyFont="1" applyFill="1" applyBorder="1" applyAlignment="1">
      <alignment shrinkToFit="1"/>
    </xf>
    <xf numFmtId="0" fontId="21" fillId="2" borderId="6" xfId="0" applyFont="1" applyFill="1" applyBorder="1" applyAlignment="1">
      <alignment shrinkToFit="1"/>
    </xf>
    <xf numFmtId="0" fontId="17" fillId="9" borderId="2" xfId="0" applyFont="1" applyFill="1" applyBorder="1" applyAlignment="1">
      <alignment shrinkToFit="1"/>
    </xf>
    <xf numFmtId="0" fontId="17" fillId="9" borderId="1" xfId="0" applyFont="1" applyFill="1" applyBorder="1" applyAlignment="1">
      <alignment shrinkToFit="1"/>
    </xf>
    <xf numFmtId="0" fontId="16" fillId="11" borderId="12" xfId="0" applyFont="1" applyFill="1" applyBorder="1" applyAlignment="1">
      <alignment shrinkToFit="1"/>
    </xf>
    <xf numFmtId="0" fontId="16" fillId="11" borderId="2" xfId="0" applyFont="1" applyFill="1" applyBorder="1" applyAlignment="1">
      <alignment shrinkToFit="1"/>
    </xf>
    <xf numFmtId="0" fontId="2" fillId="0" borderId="19" xfId="0" applyFont="1" applyBorder="1" applyAlignment="1">
      <alignment shrinkToFit="1"/>
    </xf>
    <xf numFmtId="0" fontId="21" fillId="2" borderId="0" xfId="0" applyFont="1" applyFill="1" applyBorder="1" applyAlignment="1">
      <alignment shrinkToFit="1"/>
    </xf>
    <xf numFmtId="0" fontId="2" fillId="9" borderId="14" xfId="0" applyFont="1" applyFill="1" applyBorder="1" applyAlignment="1">
      <alignment shrinkToFit="1"/>
    </xf>
    <xf numFmtId="0" fontId="15" fillId="0" borderId="3" xfId="0" applyFont="1" applyBorder="1" applyAlignment="1">
      <alignment shrinkToFit="1"/>
    </xf>
    <xf numFmtId="0" fontId="17" fillId="3" borderId="3" xfId="0" applyFont="1" applyFill="1" applyBorder="1" applyAlignment="1">
      <alignment shrinkToFit="1"/>
    </xf>
    <xf numFmtId="0" fontId="38" fillId="11" borderId="6" xfId="0" quotePrefix="1" applyNumberFormat="1" applyFont="1" applyFill="1" applyBorder="1" applyAlignment="1">
      <alignment shrinkToFit="1"/>
    </xf>
    <xf numFmtId="0" fontId="9" fillId="0" borderId="25" xfId="0" applyNumberFormat="1" applyFont="1" applyFill="1" applyBorder="1" applyAlignment="1">
      <alignment horizontal="justify" vertical="center" wrapText="1"/>
    </xf>
    <xf numFmtId="14" fontId="9" fillId="0" borderId="20" xfId="0" applyNumberFormat="1" applyFont="1" applyFill="1" applyBorder="1" applyAlignment="1">
      <alignment horizontal="center" vertical="center" wrapText="1"/>
    </xf>
    <xf numFmtId="0" fontId="1" fillId="0" borderId="20" xfId="0" applyFont="1" applyFill="1" applyBorder="1" applyAlignment="1">
      <alignment vertical="center"/>
    </xf>
    <xf numFmtId="0" fontId="1" fillId="0" borderId="20" xfId="0" applyNumberFormat="1" applyFont="1" applyFill="1" applyBorder="1" applyAlignment="1">
      <alignment vertical="center"/>
    </xf>
    <xf numFmtId="0" fontId="8"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justify" vertical="center" wrapText="1"/>
    </xf>
    <xf numFmtId="14" fontId="9" fillId="0" borderId="2" xfId="0" quotePrefix="1" applyNumberFormat="1"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0" fontId="1" fillId="0" borderId="2" xfId="0" applyFont="1" applyFill="1" applyBorder="1" applyAlignment="1">
      <alignment vertical="center"/>
    </xf>
    <xf numFmtId="0" fontId="1" fillId="0" borderId="2" xfId="0" applyNumberFormat="1" applyFont="1" applyFill="1" applyBorder="1" applyAlignment="1">
      <alignment vertical="center"/>
    </xf>
    <xf numFmtId="14" fontId="9" fillId="0" borderId="2" xfId="0" applyNumberFormat="1" applyFont="1" applyFill="1" applyBorder="1" applyAlignment="1">
      <alignment horizontal="center" vertical="center"/>
    </xf>
    <xf numFmtId="0" fontId="27" fillId="2" borderId="6" xfId="0" applyFont="1" applyFill="1" applyBorder="1" applyAlignment="1">
      <alignment shrinkToFit="1"/>
    </xf>
    <xf numFmtId="0" fontId="27" fillId="0" borderId="3" xfId="0" applyFont="1" applyFill="1" applyBorder="1" applyAlignment="1">
      <alignment shrinkToFit="1"/>
    </xf>
    <xf numFmtId="0" fontId="38" fillId="0" borderId="3" xfId="0" applyFont="1" applyFill="1" applyBorder="1" applyAlignment="1">
      <alignment shrinkToFit="1"/>
    </xf>
    <xf numFmtId="0" fontId="27" fillId="2" borderId="3" xfId="0" applyNumberFormat="1" applyFont="1" applyFill="1" applyBorder="1" applyAlignment="1">
      <alignment shrinkToFit="1"/>
    </xf>
    <xf numFmtId="0" fontId="37" fillId="7" borderId="2" xfId="0" quotePrefix="1" applyFont="1" applyFill="1" applyBorder="1" applyAlignment="1">
      <alignment shrinkToFit="1"/>
    </xf>
    <xf numFmtId="0" fontId="35" fillId="0" borderId="0" xfId="0" applyFont="1" applyFill="1" applyAlignment="1">
      <alignment horizontal="center" shrinkToFit="1"/>
    </xf>
    <xf numFmtId="0" fontId="35" fillId="7" borderId="24" xfId="0" applyFont="1" applyFill="1" applyBorder="1" applyAlignment="1">
      <alignment horizontal="center" shrinkToFit="1"/>
    </xf>
    <xf numFmtId="0" fontId="28" fillId="2" borderId="2" xfId="0" applyFont="1" applyFill="1" applyBorder="1" applyAlignment="1">
      <alignment horizontal="center" vertical="center" wrapText="1" shrinkToFit="1"/>
    </xf>
    <xf numFmtId="0" fontId="28" fillId="2" borderId="12" xfId="0" applyFont="1" applyFill="1" applyBorder="1" applyAlignment="1">
      <alignment horizontal="center" vertical="center" wrapText="1" shrinkToFit="1"/>
    </xf>
    <xf numFmtId="0" fontId="35" fillId="2" borderId="4" xfId="0" applyFont="1" applyFill="1" applyBorder="1" applyAlignment="1">
      <alignment vertical="center" shrinkToFit="1"/>
    </xf>
    <xf numFmtId="0" fontId="27" fillId="0" borderId="19" xfId="0" applyFont="1" applyFill="1" applyBorder="1" applyAlignment="1">
      <alignment shrinkToFit="1"/>
    </xf>
    <xf numFmtId="0" fontId="27" fillId="0" borderId="0" xfId="0" applyFont="1" applyFill="1" applyBorder="1" applyAlignment="1">
      <alignment shrinkToFit="1"/>
    </xf>
    <xf numFmtId="0" fontId="38" fillId="0" borderId="19" xfId="0" applyFont="1" applyFill="1" applyBorder="1" applyAlignment="1">
      <alignment shrinkToFit="1"/>
    </xf>
    <xf numFmtId="0" fontId="38" fillId="0" borderId="0" xfId="0" applyFont="1" applyFill="1" applyBorder="1" applyAlignment="1">
      <alignment shrinkToFit="1"/>
    </xf>
    <xf numFmtId="0" fontId="28" fillId="2" borderId="13" xfId="0" applyFont="1" applyFill="1" applyBorder="1" applyAlignment="1">
      <alignment horizontal="center" vertical="center" wrapText="1" shrinkToFit="1"/>
    </xf>
    <xf numFmtId="0" fontId="35" fillId="7" borderId="19" xfId="0" applyFont="1" applyFill="1" applyBorder="1" applyAlignment="1">
      <alignment shrinkToFit="1"/>
    </xf>
    <xf numFmtId="0" fontId="28" fillId="2" borderId="4" xfId="0" applyNumberFormat="1" applyFont="1" applyFill="1" applyBorder="1" applyAlignment="1">
      <alignment horizontal="center" vertical="center" shrinkToFit="1"/>
    </xf>
    <xf numFmtId="49" fontId="28" fillId="2" borderId="18" xfId="0" applyNumberFormat="1" applyFont="1" applyFill="1" applyBorder="1" applyAlignment="1">
      <alignment horizontal="center" vertical="center" shrinkToFit="1"/>
    </xf>
    <xf numFmtId="49" fontId="28" fillId="2" borderId="4" xfId="0" applyNumberFormat="1" applyFont="1" applyFill="1" applyBorder="1" applyAlignment="1">
      <alignment horizontal="center" vertical="center" shrinkToFit="1"/>
    </xf>
    <xf numFmtId="0" fontId="28" fillId="2" borderId="18" xfId="0" applyFont="1" applyFill="1" applyBorder="1" applyAlignment="1">
      <alignment horizontal="center" vertical="center" wrapText="1" shrinkToFit="1"/>
    </xf>
    <xf numFmtId="0" fontId="28" fillId="2" borderId="4" xfId="0" applyFont="1" applyFill="1" applyBorder="1" applyAlignment="1">
      <alignment horizontal="center" vertical="center" wrapText="1" shrinkToFit="1"/>
    </xf>
    <xf numFmtId="0" fontId="38" fillId="0" borderId="2" xfId="0" applyFont="1" applyFill="1" applyBorder="1" applyAlignment="1">
      <alignment shrinkToFit="1"/>
    </xf>
    <xf numFmtId="0" fontId="43" fillId="0" borderId="0" xfId="0" applyFont="1" applyFill="1" applyBorder="1" applyAlignment="1">
      <alignment horizontal="left" shrinkToFit="1"/>
    </xf>
    <xf numFmtId="0" fontId="0" fillId="0" borderId="0" xfId="0" applyFill="1" applyBorder="1" applyAlignment="1">
      <alignment horizontal="left" shrinkToFit="1"/>
    </xf>
    <xf numFmtId="0" fontId="47" fillId="2" borderId="12" xfId="0" applyFont="1" applyFill="1" applyBorder="1" applyAlignment="1">
      <alignment horizontal="center" vertical="center" wrapText="1" shrinkToFit="1"/>
    </xf>
    <xf numFmtId="0" fontId="47" fillId="2" borderId="2" xfId="0" applyFont="1" applyFill="1" applyBorder="1" applyAlignment="1">
      <alignment horizontal="center" vertical="center" wrapText="1" shrinkToFit="1"/>
    </xf>
    <xf numFmtId="0" fontId="48" fillId="2" borderId="1" xfId="0" applyFont="1" applyFill="1" applyBorder="1" applyAlignment="1">
      <alignment vertical="center" shrinkToFit="1"/>
    </xf>
    <xf numFmtId="0" fontId="49" fillId="0" borderId="7" xfId="0" applyFont="1" applyBorder="1"/>
    <xf numFmtId="0" fontId="49" fillId="0" borderId="6" xfId="0" applyFont="1" applyBorder="1"/>
    <xf numFmtId="0" fontId="42" fillId="4" borderId="20" xfId="0" applyFont="1" applyFill="1" applyBorder="1" applyAlignment="1">
      <alignment shrinkToFit="1"/>
    </xf>
    <xf numFmtId="0" fontId="42" fillId="4" borderId="20" xfId="0" applyFont="1" applyFill="1" applyBorder="1"/>
    <xf numFmtId="0" fontId="42" fillId="4" borderId="7" xfId="0" applyFont="1" applyFill="1" applyBorder="1" applyAlignment="1">
      <alignment shrinkToFit="1"/>
    </xf>
    <xf numFmtId="0" fontId="42" fillId="4" borderId="7" xfId="0" applyFont="1" applyFill="1" applyBorder="1"/>
    <xf numFmtId="0" fontId="42" fillId="4" borderId="23" xfId="0" applyFont="1" applyFill="1" applyBorder="1" applyAlignment="1">
      <alignment shrinkToFit="1"/>
    </xf>
    <xf numFmtId="0" fontId="42" fillId="4" borderId="6" xfId="0" applyFont="1" applyFill="1" applyBorder="1" applyAlignment="1">
      <alignment shrinkToFit="1"/>
    </xf>
    <xf numFmtId="0" fontId="42" fillId="4" borderId="6" xfId="0" applyFont="1" applyFill="1" applyBorder="1"/>
    <xf numFmtId="0" fontId="49" fillId="6" borderId="7" xfId="0" applyFont="1" applyFill="1" applyBorder="1"/>
    <xf numFmtId="0" fontId="49" fillId="6" borderId="6" xfId="0" applyFont="1" applyFill="1" applyBorder="1"/>
    <xf numFmtId="0" fontId="50" fillId="12" borderId="7" xfId="0" applyFont="1" applyFill="1" applyBorder="1"/>
    <xf numFmtId="0" fontId="50" fillId="12" borderId="6" xfId="0" applyFont="1" applyFill="1" applyBorder="1"/>
    <xf numFmtId="0" fontId="44" fillId="0" borderId="19" xfId="0" applyFont="1" applyFill="1" applyBorder="1" applyAlignment="1">
      <alignment shrinkToFit="1"/>
    </xf>
    <xf numFmtId="0" fontId="44" fillId="0" borderId="0" xfId="0" applyFont="1" applyFill="1" applyBorder="1" applyAlignment="1">
      <alignment shrinkToFit="1"/>
    </xf>
    <xf numFmtId="0" fontId="42" fillId="4" borderId="19" xfId="0" applyFont="1" applyFill="1" applyBorder="1" applyAlignment="1">
      <alignment shrinkToFit="1"/>
    </xf>
    <xf numFmtId="0" fontId="42" fillId="4" borderId="0" xfId="0" applyFont="1" applyFill="1" applyBorder="1"/>
    <xf numFmtId="0" fontId="50" fillId="12" borderId="0" xfId="0" applyFont="1" applyFill="1" applyBorder="1"/>
    <xf numFmtId="0" fontId="49" fillId="6" borderId="0" xfId="0" applyFont="1" applyFill="1" applyBorder="1"/>
    <xf numFmtId="0" fontId="52" fillId="0" borderId="7" xfId="0" applyFont="1" applyBorder="1"/>
    <xf numFmtId="0" fontId="52" fillId="0" borderId="6" xfId="0" applyFont="1" applyBorder="1"/>
    <xf numFmtId="0" fontId="53" fillId="0" borderId="7" xfId="0" applyFont="1" applyBorder="1"/>
    <xf numFmtId="0" fontId="53" fillId="0" borderId="7" xfId="0" applyFont="1" applyFill="1" applyBorder="1"/>
    <xf numFmtId="0" fontId="53" fillId="0" borderId="6" xfId="0" applyFont="1" applyFill="1" applyBorder="1"/>
    <xf numFmtId="14" fontId="38" fillId="0" borderId="7" xfId="0" quotePrefix="1" applyNumberFormat="1" applyFont="1" applyFill="1" applyBorder="1" applyAlignment="1">
      <alignment shrinkToFit="1"/>
    </xf>
    <xf numFmtId="14" fontId="27" fillId="2" borderId="7" xfId="0" quotePrefix="1" applyNumberFormat="1" applyFont="1" applyFill="1" applyBorder="1" applyAlignment="1">
      <alignment horizontal="right" vertical="center" shrinkToFit="1"/>
    </xf>
    <xf numFmtId="14" fontId="27" fillId="2" borderId="7" xfId="0" quotePrefix="1" applyNumberFormat="1" applyFont="1" applyFill="1" applyBorder="1" applyAlignment="1">
      <alignment horizontal="right" shrinkToFit="1"/>
    </xf>
    <xf numFmtId="167" fontId="38" fillId="13" borderId="6" xfId="0" applyNumberFormat="1" applyFont="1" applyFill="1" applyBorder="1" applyAlignment="1">
      <alignment horizontal="right" shrinkToFit="1"/>
    </xf>
    <xf numFmtId="0" fontId="38" fillId="13" borderId="6" xfId="0" applyFont="1" applyFill="1" applyBorder="1" applyAlignment="1">
      <alignment shrinkToFit="1"/>
    </xf>
    <xf numFmtId="14" fontId="38" fillId="13" borderId="6" xfId="0" applyNumberFormat="1" applyFont="1" applyFill="1" applyBorder="1" applyAlignment="1">
      <alignment horizontal="center" vertical="center" shrinkToFit="1"/>
    </xf>
    <xf numFmtId="0" fontId="38" fillId="13" borderId="6" xfId="0" applyFont="1" applyFill="1" applyBorder="1" applyAlignment="1">
      <alignment horizontal="right" shrinkToFit="1"/>
    </xf>
    <xf numFmtId="0" fontId="38" fillId="13" borderId="6" xfId="0" quotePrefix="1" applyFont="1" applyFill="1" applyBorder="1" applyAlignment="1">
      <alignment horizontal="right" shrinkToFit="1"/>
    </xf>
    <xf numFmtId="0" fontId="38" fillId="13" borderId="6" xfId="0" quotePrefix="1" applyNumberFormat="1" applyFont="1" applyFill="1" applyBorder="1" applyAlignment="1">
      <alignment shrinkToFit="1"/>
    </xf>
    <xf numFmtId="0" fontId="38" fillId="13" borderId="6" xfId="0" applyFont="1" applyFill="1" applyBorder="1" applyAlignment="1">
      <alignment horizontal="center" shrinkToFit="1"/>
    </xf>
    <xf numFmtId="0" fontId="38" fillId="13" borderId="7" xfId="0" applyFont="1" applyFill="1" applyBorder="1" applyAlignment="1">
      <alignment shrinkToFit="1"/>
    </xf>
    <xf numFmtId="165" fontId="38" fillId="13" borderId="6" xfId="0" applyNumberFormat="1" applyFont="1" applyFill="1" applyBorder="1" applyAlignment="1">
      <alignment shrinkToFit="1"/>
    </xf>
    <xf numFmtId="14" fontId="38" fillId="13" borderId="6" xfId="0" applyNumberFormat="1" applyFont="1" applyFill="1" applyBorder="1" applyAlignment="1">
      <alignment horizontal="right" shrinkToFit="1"/>
    </xf>
    <xf numFmtId="167" fontId="38" fillId="13" borderId="7" xfId="0" applyNumberFormat="1" applyFont="1" applyFill="1" applyBorder="1" applyAlignment="1">
      <alignment horizontal="right" shrinkToFit="1"/>
    </xf>
    <xf numFmtId="14" fontId="38" fillId="13" borderId="7" xfId="0" applyNumberFormat="1" applyFont="1" applyFill="1" applyBorder="1" applyAlignment="1">
      <alignment horizontal="center" vertical="center" shrinkToFit="1"/>
    </xf>
    <xf numFmtId="14" fontId="38" fillId="13" borderId="7" xfId="0" quotePrefix="1" applyNumberFormat="1" applyFont="1" applyFill="1" applyBorder="1" applyAlignment="1">
      <alignment horizontal="right" shrinkToFit="1"/>
    </xf>
    <xf numFmtId="0" fontId="38" fillId="13" borderId="7" xfId="0" quotePrefix="1" applyNumberFormat="1" applyFont="1" applyFill="1" applyBorder="1" applyAlignment="1">
      <alignment shrinkToFit="1"/>
    </xf>
    <xf numFmtId="0" fontId="38" fillId="13" borderId="7" xfId="0" applyFont="1" applyFill="1" applyBorder="1" applyAlignment="1">
      <alignment horizontal="center" shrinkToFit="1"/>
    </xf>
    <xf numFmtId="0" fontId="38" fillId="13" borderId="7" xfId="0" applyNumberFormat="1" applyFont="1" applyFill="1" applyBorder="1" applyAlignment="1">
      <alignment horizontal="center" vertical="center" shrinkToFit="1"/>
    </xf>
    <xf numFmtId="165" fontId="38" fillId="13" borderId="7" xfId="0" applyNumberFormat="1" applyFont="1" applyFill="1" applyBorder="1" applyAlignment="1">
      <alignment shrinkToFit="1"/>
    </xf>
    <xf numFmtId="0" fontId="38" fillId="13" borderId="7" xfId="0" applyFont="1" applyFill="1" applyBorder="1" applyAlignment="1">
      <alignment horizontal="right" shrinkToFit="1"/>
    </xf>
    <xf numFmtId="0" fontId="38" fillId="13" borderId="7" xfId="0" quotePrefix="1" applyFont="1" applyFill="1" applyBorder="1" applyAlignment="1">
      <alignment shrinkToFit="1"/>
    </xf>
    <xf numFmtId="14" fontId="38" fillId="13" borderId="6" xfId="0" quotePrefix="1" applyNumberFormat="1" applyFont="1" applyFill="1" applyBorder="1" applyAlignment="1">
      <alignment horizontal="right" shrinkToFit="1"/>
    </xf>
    <xf numFmtId="167" fontId="27" fillId="13" borderId="7" xfId="0" applyNumberFormat="1" applyFont="1" applyFill="1" applyBorder="1" applyAlignment="1">
      <alignment horizontal="right" shrinkToFit="1"/>
    </xf>
    <xf numFmtId="0" fontId="27" fillId="13" borderId="7" xfId="0" applyFont="1" applyFill="1" applyBorder="1" applyAlignment="1">
      <alignment shrinkToFit="1"/>
    </xf>
    <xf numFmtId="14" fontId="27" fillId="13" borderId="7" xfId="0" applyNumberFormat="1" applyFont="1" applyFill="1" applyBorder="1" applyAlignment="1">
      <alignment horizontal="center" vertical="center" shrinkToFit="1"/>
    </xf>
    <xf numFmtId="14" fontId="27" fillId="13" borderId="7" xfId="0" quotePrefix="1" applyNumberFormat="1" applyFont="1" applyFill="1" applyBorder="1" applyAlignment="1">
      <alignment horizontal="right" vertical="center" shrinkToFit="1"/>
    </xf>
    <xf numFmtId="0" fontId="27" fillId="13" borderId="7" xfId="0" quotePrefix="1" applyNumberFormat="1" applyFont="1" applyFill="1" applyBorder="1" applyAlignment="1">
      <alignment shrinkToFit="1"/>
    </xf>
    <xf numFmtId="0" fontId="27" fillId="13" borderId="7" xfId="0" applyFont="1" applyFill="1" applyBorder="1" applyAlignment="1">
      <alignment horizontal="center" shrinkToFit="1"/>
    </xf>
    <xf numFmtId="165" fontId="27" fillId="13" borderId="7" xfId="0" applyNumberFormat="1" applyFont="1" applyFill="1" applyBorder="1" applyAlignment="1">
      <alignment shrinkToFit="1"/>
    </xf>
    <xf numFmtId="14" fontId="27" fillId="13" borderId="7" xfId="0" quotePrefix="1" applyNumberFormat="1" applyFont="1" applyFill="1" applyBorder="1" applyAlignment="1">
      <alignment horizontal="right" shrinkToFit="1"/>
    </xf>
    <xf numFmtId="0" fontId="27" fillId="13" borderId="7" xfId="0" applyFont="1" applyFill="1" applyBorder="1" applyAlignment="1">
      <alignment horizontal="right" shrinkToFit="1"/>
    </xf>
    <xf numFmtId="167" fontId="27" fillId="13" borderId="6" xfId="0" applyNumberFormat="1" applyFont="1" applyFill="1" applyBorder="1" applyAlignment="1">
      <alignment horizontal="right" shrinkToFit="1"/>
    </xf>
    <xf numFmtId="0" fontId="27" fillId="13" borderId="6" xfId="0" applyFont="1" applyFill="1" applyBorder="1" applyAlignment="1">
      <alignment shrinkToFit="1"/>
    </xf>
    <xf numFmtId="14" fontId="27" fillId="13" borderId="6" xfId="0" applyNumberFormat="1" applyFont="1" applyFill="1" applyBorder="1" applyAlignment="1">
      <alignment horizontal="center" vertical="center" shrinkToFit="1"/>
    </xf>
    <xf numFmtId="14" fontId="27" fillId="13" borderId="6" xfId="0" quotePrefix="1" applyNumberFormat="1" applyFont="1" applyFill="1" applyBorder="1" applyAlignment="1">
      <alignment horizontal="right" vertical="center" shrinkToFit="1"/>
    </xf>
    <xf numFmtId="0" fontId="27" fillId="13" borderId="6" xfId="0" quotePrefix="1" applyNumberFormat="1" applyFont="1" applyFill="1" applyBorder="1" applyAlignment="1">
      <alignment shrinkToFit="1"/>
    </xf>
    <xf numFmtId="0" fontId="27" fillId="13" borderId="6" xfId="0" applyFont="1" applyFill="1" applyBorder="1" applyAlignment="1">
      <alignment horizontal="center" shrinkToFit="1"/>
    </xf>
    <xf numFmtId="0" fontId="41" fillId="13" borderId="6" xfId="0" applyFont="1" applyFill="1" applyBorder="1" applyAlignment="1">
      <alignment shrinkToFit="1"/>
    </xf>
    <xf numFmtId="165" fontId="27" fillId="13" borderId="6" xfId="0" applyNumberFormat="1" applyFont="1" applyFill="1" applyBorder="1" applyAlignment="1">
      <alignment shrinkToFit="1"/>
    </xf>
    <xf numFmtId="16" fontId="27" fillId="13" borderId="6" xfId="0" quotePrefix="1" applyNumberFormat="1" applyFont="1" applyFill="1" applyBorder="1" applyAlignment="1">
      <alignment horizontal="right" shrinkToFit="1"/>
    </xf>
    <xf numFmtId="0" fontId="27" fillId="13" borderId="6" xfId="0" quotePrefix="1" applyFont="1" applyFill="1" applyBorder="1" applyAlignment="1">
      <alignment horizontal="right" shrinkToFit="1"/>
    </xf>
    <xf numFmtId="0" fontId="27" fillId="13" borderId="6" xfId="0" applyFont="1" applyFill="1" applyBorder="1" applyAlignment="1">
      <alignment horizontal="right" shrinkToFit="1"/>
    </xf>
    <xf numFmtId="0" fontId="27" fillId="13" borderId="6" xfId="0" quotePrefix="1" applyFont="1" applyFill="1" applyBorder="1" applyAlignment="1">
      <alignment shrinkToFit="1"/>
    </xf>
    <xf numFmtId="14" fontId="38" fillId="13" borderId="7" xfId="0" quotePrefix="1" applyNumberFormat="1" applyFont="1" applyFill="1" applyBorder="1" applyAlignment="1">
      <alignment horizontal="right" vertical="center" shrinkToFit="1"/>
    </xf>
    <xf numFmtId="0" fontId="27" fillId="2" borderId="20" xfId="0" applyFont="1" applyFill="1" applyBorder="1" applyAlignment="1">
      <alignment shrinkToFit="1"/>
    </xf>
    <xf numFmtId="0" fontId="15" fillId="2" borderId="5" xfId="0" applyNumberFormat="1" applyFont="1" applyFill="1" applyBorder="1" applyAlignment="1">
      <alignment shrinkToFit="1"/>
    </xf>
    <xf numFmtId="0" fontId="17" fillId="0" borderId="27" xfId="0" applyFont="1" applyFill="1" applyBorder="1" applyAlignment="1">
      <alignment shrinkToFit="1"/>
    </xf>
    <xf numFmtId="14" fontId="2" fillId="0" borderId="7" xfId="0" applyNumberFormat="1" applyFont="1" applyBorder="1" applyAlignment="1">
      <alignment shrinkToFit="1"/>
    </xf>
    <xf numFmtId="0" fontId="17" fillId="0" borderId="22" xfId="0" applyFont="1" applyFill="1" applyBorder="1" applyAlignment="1">
      <alignment shrinkToFit="1"/>
    </xf>
    <xf numFmtId="0" fontId="2" fillId="0" borderId="7" xfId="0" applyFont="1" applyBorder="1" applyAlignment="1">
      <alignment shrinkToFit="1"/>
    </xf>
    <xf numFmtId="0" fontId="2" fillId="0" borderId="6" xfId="0" applyFont="1" applyBorder="1" applyAlignment="1">
      <alignment shrinkToFit="1"/>
    </xf>
    <xf numFmtId="0" fontId="17" fillId="0" borderId="28" xfId="0" applyFont="1" applyFill="1" applyBorder="1" applyAlignment="1">
      <alignment shrinkToFit="1"/>
    </xf>
    <xf numFmtId="4" fontId="21" fillId="9" borderId="7" xfId="0" applyNumberFormat="1" applyFont="1" applyFill="1" applyBorder="1" applyAlignment="1">
      <alignment horizontal="center" vertical="center"/>
    </xf>
    <xf numFmtId="0" fontId="15" fillId="9" borderId="7" xfId="0" applyNumberFormat="1" applyFont="1" applyFill="1" applyBorder="1" applyAlignment="1">
      <alignment horizontal="center" vertical="center"/>
    </xf>
    <xf numFmtId="0" fontId="2" fillId="9" borderId="7" xfId="0" applyNumberFormat="1" applyFont="1" applyFill="1" applyBorder="1" applyAlignment="1"/>
    <xf numFmtId="0" fontId="2" fillId="0" borderId="7" xfId="0" quotePrefix="1" applyNumberFormat="1" applyFont="1" applyFill="1" applyBorder="1" applyAlignment="1"/>
    <xf numFmtId="0" fontId="15" fillId="2" borderId="7" xfId="0" quotePrefix="1" applyNumberFormat="1" applyFont="1" applyFill="1" applyBorder="1" applyAlignment="1">
      <alignment horizontal="center" vertical="center"/>
    </xf>
    <xf numFmtId="0"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14" fontId="4" fillId="0" borderId="4"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3" fillId="0" borderId="0" xfId="0" applyFont="1" applyFill="1" applyBorder="1" applyAlignment="1">
      <alignment horizontal="left" shrinkToFit="1"/>
    </xf>
    <xf numFmtId="0" fontId="0" fillId="0" borderId="0" xfId="0" applyFill="1" applyBorder="1" applyAlignment="1">
      <alignment horizontal="left" shrinkToFit="1"/>
    </xf>
    <xf numFmtId="0" fontId="28" fillId="2" borderId="4" xfId="0" applyFont="1" applyFill="1" applyBorder="1" applyAlignment="1">
      <alignment horizontal="center" vertical="center" wrapText="1" shrinkToFit="1"/>
    </xf>
    <xf numFmtId="0" fontId="28" fillId="2" borderId="3" xfId="0" applyFont="1" applyFill="1" applyBorder="1" applyAlignment="1">
      <alignment horizontal="center" vertical="center" wrapText="1" shrinkToFit="1"/>
    </xf>
    <xf numFmtId="0" fontId="28" fillId="0" borderId="3" xfId="0" applyFont="1" applyFill="1" applyBorder="1" applyAlignment="1">
      <alignment horizontal="center" vertical="center" wrapText="1" shrinkToFit="1"/>
    </xf>
    <xf numFmtId="0" fontId="28" fillId="0" borderId="14" xfId="0" applyFont="1" applyFill="1" applyBorder="1" applyAlignment="1">
      <alignment horizontal="center" vertical="center" wrapText="1" shrinkToFit="1"/>
    </xf>
    <xf numFmtId="0" fontId="35" fillId="0" borderId="3" xfId="0" applyFont="1" applyFill="1" applyBorder="1" applyAlignment="1">
      <alignment vertical="center" shrinkToFit="1"/>
    </xf>
    <xf numFmtId="0" fontId="50" fillId="12" borderId="20" xfId="0" applyFont="1" applyFill="1" applyBorder="1"/>
    <xf numFmtId="0" fontId="49" fillId="6" borderId="20" xfId="0" applyFont="1" applyFill="1" applyBorder="1"/>
    <xf numFmtId="0" fontId="52" fillId="0" borderId="20" xfId="0" applyFont="1" applyBorder="1"/>
    <xf numFmtId="0" fontId="49" fillId="0" borderId="20" xfId="0" applyFont="1" applyBorder="1"/>
    <xf numFmtId="0" fontId="53" fillId="0" borderId="20" xfId="0" applyFont="1" applyBorder="1"/>
    <xf numFmtId="0" fontId="28" fillId="0" borderId="13" xfId="0" applyFont="1" applyFill="1" applyBorder="1" applyAlignment="1">
      <alignment horizontal="center" vertical="center" wrapText="1" shrinkToFit="1"/>
    </xf>
    <xf numFmtId="0" fontId="28" fillId="0" borderId="4" xfId="0" applyFont="1" applyFill="1" applyBorder="1" applyAlignment="1">
      <alignment horizontal="center" vertical="center" wrapText="1" shrinkToFit="1"/>
    </xf>
    <xf numFmtId="0" fontId="35" fillId="0" borderId="4" xfId="0" applyFont="1" applyFill="1" applyBorder="1" applyAlignment="1">
      <alignment vertical="center" shrinkToFit="1"/>
    </xf>
    <xf numFmtId="0" fontId="38" fillId="9" borderId="5" xfId="0" applyFont="1" applyFill="1" applyBorder="1" applyAlignment="1">
      <alignment shrinkToFit="1"/>
    </xf>
    <xf numFmtId="0" fontId="28" fillId="9" borderId="5" xfId="0" applyNumberFormat="1" applyFont="1" applyFill="1" applyBorder="1" applyAlignment="1">
      <alignment horizontal="center" vertical="center" shrinkToFit="1"/>
    </xf>
    <xf numFmtId="0" fontId="27" fillId="9" borderId="20" xfId="0" applyFont="1" applyFill="1" applyBorder="1" applyAlignment="1">
      <alignment shrinkToFit="1"/>
    </xf>
    <xf numFmtId="49" fontId="28" fillId="9" borderId="5" xfId="0" applyNumberFormat="1" applyFont="1" applyFill="1" applyBorder="1" applyAlignment="1">
      <alignment horizontal="center" vertical="center" shrinkToFit="1"/>
    </xf>
    <xf numFmtId="0" fontId="28" fillId="9" borderId="9" xfId="0" applyFont="1" applyFill="1" applyBorder="1" applyAlignment="1">
      <alignment horizontal="center" vertical="center" wrapText="1" shrinkToFit="1"/>
    </xf>
    <xf numFmtId="0" fontId="28" fillId="9" borderId="5" xfId="0" applyFont="1" applyFill="1" applyBorder="1" applyAlignment="1">
      <alignment horizontal="center" vertical="center" wrapText="1" shrinkToFit="1"/>
    </xf>
    <xf numFmtId="0" fontId="27" fillId="9" borderId="20" xfId="0" applyFont="1" applyFill="1" applyBorder="1" applyAlignment="1">
      <alignment horizontal="center" shrinkToFit="1"/>
    </xf>
    <xf numFmtId="0" fontId="38" fillId="9" borderId="7" xfId="0" applyFont="1" applyFill="1" applyBorder="1" applyAlignment="1">
      <alignment shrinkToFit="1"/>
    </xf>
    <xf numFmtId="0" fontId="28" fillId="9" borderId="7" xfId="0" applyNumberFormat="1" applyFont="1" applyFill="1" applyBorder="1" applyAlignment="1">
      <alignment horizontal="center" vertical="center" shrinkToFit="1"/>
    </xf>
    <xf numFmtId="167" fontId="38" fillId="0" borderId="20" xfId="0" applyNumberFormat="1" applyFont="1" applyFill="1" applyBorder="1" applyAlignment="1">
      <alignment horizontal="center" shrinkToFit="1"/>
    </xf>
    <xf numFmtId="167" fontId="38" fillId="0" borderId="6" xfId="0" applyNumberFormat="1" applyFont="1" applyFill="1" applyBorder="1" applyAlignment="1">
      <alignment horizontal="center" shrinkToFit="1"/>
    </xf>
    <xf numFmtId="0" fontId="15" fillId="0" borderId="8" xfId="0" applyFont="1" applyFill="1" applyBorder="1" applyAlignment="1"/>
    <xf numFmtId="166" fontId="2" fillId="0" borderId="8" xfId="0" applyNumberFormat="1" applyFont="1" applyFill="1" applyBorder="1" applyAlignment="1"/>
    <xf numFmtId="0" fontId="2" fillId="0" borderId="8" xfId="0" applyNumberFormat="1" applyFont="1" applyFill="1" applyBorder="1" applyAlignment="1"/>
    <xf numFmtId="14" fontId="2" fillId="0" borderId="8" xfId="0" applyNumberFormat="1" applyFont="1" applyFill="1" applyBorder="1" applyAlignment="1"/>
    <xf numFmtId="2" fontId="2" fillId="0" borderId="8" xfId="0" applyNumberFormat="1" applyFont="1" applyFill="1" applyBorder="1" applyAlignment="1"/>
    <xf numFmtId="4" fontId="2" fillId="0" borderId="8" xfId="0" applyNumberFormat="1" applyFont="1" applyFill="1" applyBorder="1" applyAlignment="1"/>
    <xf numFmtId="0" fontId="15" fillId="0" borderId="8" xfId="0" applyNumberFormat="1" applyFont="1" applyFill="1" applyBorder="1" applyAlignment="1">
      <alignment horizontal="center" vertical="center"/>
    </xf>
    <xf numFmtId="4" fontId="21" fillId="0" borderId="8" xfId="0" applyNumberFormat="1" applyFont="1" applyFill="1" applyBorder="1" applyAlignment="1">
      <alignment horizontal="center" vertical="center"/>
    </xf>
    <xf numFmtId="0" fontId="2" fillId="0" borderId="8" xfId="0" applyFont="1" applyBorder="1" applyAlignment="1"/>
    <xf numFmtId="0" fontId="2" fillId="9" borderId="2" xfId="0" applyFont="1" applyFill="1" applyBorder="1" applyAlignment="1"/>
    <xf numFmtId="0" fontId="15" fillId="9" borderId="2" xfId="0" applyFont="1" applyFill="1" applyBorder="1" applyAlignment="1"/>
    <xf numFmtId="166" fontId="2" fillId="9" borderId="2" xfId="0" applyNumberFormat="1" applyFont="1" applyFill="1" applyBorder="1" applyAlignment="1"/>
    <xf numFmtId="0" fontId="2" fillId="9" borderId="2" xfId="0" applyNumberFormat="1" applyFont="1" applyFill="1" applyBorder="1" applyAlignment="1"/>
    <xf numFmtId="14" fontId="2" fillId="9" borderId="2" xfId="0" applyNumberFormat="1" applyFont="1" applyFill="1" applyBorder="1" applyAlignment="1"/>
    <xf numFmtId="2" fontId="2" fillId="9" borderId="2" xfId="0" applyNumberFormat="1" applyFont="1" applyFill="1" applyBorder="1" applyAlignment="1"/>
    <xf numFmtId="4" fontId="2" fillId="9" borderId="2" xfId="0" applyNumberFormat="1" applyFont="1" applyFill="1" applyBorder="1" applyAlignment="1"/>
    <xf numFmtId="0" fontId="15" fillId="9" borderId="2" xfId="0" applyNumberFormat="1" applyFont="1" applyFill="1" applyBorder="1" applyAlignment="1">
      <alignment horizontal="center" vertical="center"/>
    </xf>
    <xf numFmtId="4" fontId="21" fillId="9" borderId="2" xfId="0" applyNumberFormat="1" applyFont="1" applyFill="1" applyBorder="1" applyAlignment="1">
      <alignment horizontal="center" vertical="center"/>
    </xf>
    <xf numFmtId="0" fontId="8" fillId="9" borderId="2" xfId="0" applyNumberFormat="1" applyFont="1" applyFill="1" applyBorder="1" applyAlignment="1">
      <alignment horizontal="center" vertical="center" wrapText="1"/>
    </xf>
    <xf numFmtId="0" fontId="9" fillId="9" borderId="2" xfId="0" applyNumberFormat="1" applyFont="1" applyFill="1" applyBorder="1" applyAlignment="1">
      <alignment horizontal="justify" vertical="center" wrapText="1"/>
    </xf>
    <xf numFmtId="14" fontId="9" fillId="9" borderId="2" xfId="0" quotePrefix="1" applyNumberFormat="1" applyFont="1" applyFill="1" applyBorder="1" applyAlignment="1">
      <alignment horizontal="center" vertical="center" wrapText="1"/>
    </xf>
    <xf numFmtId="14" fontId="9" fillId="9" borderId="2" xfId="0" applyNumberFormat="1" applyFont="1" applyFill="1" applyBorder="1" applyAlignment="1">
      <alignment horizontal="center" vertical="center"/>
    </xf>
    <xf numFmtId="14" fontId="9" fillId="9" borderId="2" xfId="0" applyNumberFormat="1" applyFont="1" applyFill="1" applyBorder="1" applyAlignment="1">
      <alignment horizontal="center" vertical="center" wrapText="1"/>
    </xf>
    <xf numFmtId="0" fontId="1" fillId="9" borderId="2" xfId="0" applyFont="1" applyFill="1" applyBorder="1" applyAlignment="1">
      <alignment vertical="center"/>
    </xf>
    <xf numFmtId="0" fontId="1" fillId="9" borderId="2" xfId="0" applyNumberFormat="1" applyFont="1" applyFill="1" applyBorder="1" applyAlignment="1">
      <alignment vertical="center"/>
    </xf>
    <xf numFmtId="0" fontId="15" fillId="14" borderId="7" xfId="0" applyFont="1" applyFill="1" applyBorder="1" applyAlignment="1">
      <alignment shrinkToFit="1"/>
    </xf>
    <xf numFmtId="0" fontId="15" fillId="14" borderId="6" xfId="0" applyFont="1" applyFill="1" applyBorder="1" applyAlignment="1">
      <alignment shrinkToFit="1"/>
    </xf>
    <xf numFmtId="0" fontId="15" fillId="14" borderId="5" xfId="0" applyFont="1" applyFill="1" applyBorder="1" applyAlignment="1">
      <alignment shrinkToFit="1"/>
    </xf>
    <xf numFmtId="0" fontId="21" fillId="14" borderId="5" xfId="0" applyFont="1" applyFill="1" applyBorder="1" applyAlignment="1">
      <alignment shrinkToFit="1"/>
    </xf>
    <xf numFmtId="0" fontId="2" fillId="14" borderId="5" xfId="0" applyFont="1" applyFill="1" applyBorder="1" applyAlignment="1">
      <alignment shrinkToFit="1"/>
    </xf>
    <xf numFmtId="0" fontId="17" fillId="14" borderId="5" xfId="0" applyFont="1" applyFill="1" applyBorder="1" applyAlignment="1">
      <alignment shrinkToFit="1"/>
    </xf>
    <xf numFmtId="0" fontId="21" fillId="14" borderId="7" xfId="0" applyFont="1" applyFill="1" applyBorder="1" applyAlignment="1">
      <alignment shrinkToFit="1"/>
    </xf>
    <xf numFmtId="0" fontId="2" fillId="14" borderId="7" xfId="0" applyFont="1" applyFill="1" applyBorder="1" applyAlignment="1">
      <alignment shrinkToFit="1"/>
    </xf>
    <xf numFmtId="0" fontId="17" fillId="14" borderId="7" xfId="0" applyFont="1" applyFill="1" applyBorder="1" applyAlignment="1">
      <alignment shrinkToFit="1"/>
    </xf>
    <xf numFmtId="0" fontId="21" fillId="14" borderId="6" xfId="0" applyFont="1" applyFill="1" applyBorder="1" applyAlignment="1">
      <alignment shrinkToFit="1"/>
    </xf>
    <xf numFmtId="0" fontId="2" fillId="14" borderId="6" xfId="0" applyFont="1" applyFill="1" applyBorder="1" applyAlignment="1">
      <alignment shrinkToFit="1"/>
    </xf>
    <xf numFmtId="0" fontId="17" fillId="14" borderId="6" xfId="0" applyFont="1" applyFill="1" applyBorder="1" applyAlignment="1">
      <alignment shrinkToFit="1"/>
    </xf>
    <xf numFmtId="0" fontId="54" fillId="0" borderId="0" xfId="0" applyFont="1" applyProtection="1">
      <protection locked="0"/>
    </xf>
    <xf numFmtId="0" fontId="54" fillId="0" borderId="0" xfId="0" applyFont="1" applyAlignment="1" applyProtection="1">
      <alignment vertical="top"/>
      <protection locked="0"/>
    </xf>
    <xf numFmtId="0" fontId="54" fillId="0" borderId="0" xfId="0" applyFont="1" applyAlignment="1" applyProtection="1">
      <alignment horizontal="center"/>
      <protection locked="0"/>
    </xf>
    <xf numFmtId="0" fontId="54" fillId="0" borderId="0" xfId="0" applyFont="1" applyAlignment="1" applyProtection="1">
      <alignment vertical="center"/>
      <protection locked="0"/>
    </xf>
    <xf numFmtId="0" fontId="56" fillId="0" borderId="0" xfId="0" applyFont="1" applyAlignment="1" applyProtection="1">
      <alignment horizontal="left" vertical="center"/>
      <protection locked="0"/>
    </xf>
    <xf numFmtId="0" fontId="54" fillId="0" borderId="0" xfId="0" applyFont="1"/>
    <xf numFmtId="0" fontId="54" fillId="0" borderId="7" xfId="0" applyFont="1" applyBorder="1" applyAlignment="1">
      <alignment vertical="center" wrapText="1"/>
    </xf>
    <xf numFmtId="0" fontId="55" fillId="0" borderId="0" xfId="0" applyFont="1"/>
    <xf numFmtId="0" fontId="58" fillId="0" borderId="0" xfId="0" applyFont="1"/>
    <xf numFmtId="0" fontId="55" fillId="0" borderId="0" xfId="0" applyFont="1" applyProtection="1">
      <protection locked="0"/>
    </xf>
    <xf numFmtId="0" fontId="54" fillId="0" borderId="2" xfId="0" applyFont="1" applyBorder="1" applyAlignment="1" applyProtection="1">
      <alignment horizontal="center"/>
      <protection locked="0"/>
    </xf>
    <xf numFmtId="0" fontId="54" fillId="0" borderId="5" xfId="0" applyFont="1" applyBorder="1" applyAlignment="1" applyProtection="1">
      <alignment horizontal="right"/>
      <protection locked="0"/>
    </xf>
    <xf numFmtId="0" fontId="54" fillId="0" borderId="5" xfId="0" applyFont="1" applyBorder="1" applyAlignment="1" applyProtection="1">
      <alignment horizontal="left"/>
      <protection locked="0"/>
    </xf>
    <xf numFmtId="0" fontId="55" fillId="0" borderId="5" xfId="0" applyFont="1" applyBorder="1" applyAlignment="1" applyProtection="1">
      <alignment horizontal="right"/>
      <protection locked="0"/>
    </xf>
    <xf numFmtId="0" fontId="54" fillId="0" borderId="5" xfId="0" applyFont="1" applyBorder="1" applyAlignment="1" applyProtection="1">
      <alignment horizontal="center"/>
      <protection locked="0"/>
    </xf>
    <xf numFmtId="0" fontId="54" fillId="0" borderId="7" xfId="0" applyFont="1" applyBorder="1" applyAlignment="1" applyProtection="1">
      <alignment horizontal="right" vertical="center" wrapText="1"/>
      <protection locked="0"/>
    </xf>
    <xf numFmtId="0" fontId="54" fillId="0" borderId="7" xfId="0" applyFont="1" applyBorder="1" applyAlignment="1" applyProtection="1">
      <alignment vertical="center" wrapText="1"/>
      <protection locked="0"/>
    </xf>
    <xf numFmtId="0" fontId="54" fillId="0" borderId="1" xfId="0" applyFont="1" applyBorder="1" applyAlignment="1" applyProtection="1">
      <alignment vertical="center" wrapText="1"/>
      <protection locked="0"/>
    </xf>
    <xf numFmtId="0" fontId="54" fillId="15" borderId="7" xfId="0" applyFont="1" applyFill="1" applyBorder="1" applyAlignment="1" applyProtection="1">
      <alignment vertical="center" wrapText="1"/>
      <protection locked="0"/>
    </xf>
    <xf numFmtId="0" fontId="54" fillId="0" borderId="3" xfId="0" applyFont="1" applyBorder="1" applyAlignment="1" applyProtection="1">
      <alignment vertical="center" wrapText="1"/>
      <protection locked="0"/>
    </xf>
    <xf numFmtId="0" fontId="54" fillId="0" borderId="6" xfId="0" applyFont="1" applyBorder="1" applyAlignment="1" applyProtection="1">
      <alignment horizontal="right" vertical="center" wrapText="1"/>
      <protection locked="0"/>
    </xf>
    <xf numFmtId="0" fontId="54" fillId="0" borderId="6" xfId="0" applyFont="1" applyBorder="1" applyAlignment="1" applyProtection="1">
      <alignment vertical="center" wrapText="1"/>
      <protection locked="0"/>
    </xf>
    <xf numFmtId="0" fontId="54" fillId="0" borderId="4" xfId="0" applyFont="1" applyBorder="1" applyAlignment="1" applyProtection="1">
      <alignment vertical="center" wrapText="1"/>
      <protection locked="0"/>
    </xf>
    <xf numFmtId="0" fontId="54" fillId="0" borderId="0" xfId="0" applyFont="1" applyAlignment="1" applyProtection="1">
      <alignment horizontal="center" vertical="center" wrapText="1"/>
      <protection locked="0"/>
    </xf>
    <xf numFmtId="0" fontId="54" fillId="0" borderId="2" xfId="0" applyFont="1" applyBorder="1" applyAlignment="1" applyProtection="1">
      <alignment vertical="center" wrapText="1"/>
      <protection locked="0"/>
    </xf>
    <xf numFmtId="0" fontId="54" fillId="0" borderId="2" xfId="0" applyFont="1" applyBorder="1" applyProtection="1">
      <protection locked="0"/>
    </xf>
    <xf numFmtId="0" fontId="54" fillId="15" borderId="2" xfId="0" applyFont="1" applyFill="1" applyBorder="1" applyAlignment="1" applyProtection="1">
      <alignment horizontal="center"/>
      <protection locked="0"/>
    </xf>
    <xf numFmtId="0" fontId="63" fillId="0" borderId="7" xfId="0" applyFont="1" applyBorder="1" applyAlignment="1" applyProtection="1">
      <alignment vertical="center" wrapText="1"/>
      <protection locked="0"/>
    </xf>
    <xf numFmtId="0" fontId="54" fillId="15" borderId="7" xfId="0" applyFont="1" applyFill="1" applyBorder="1" applyAlignment="1" applyProtection="1">
      <alignment horizontal="center" vertical="center" wrapText="1"/>
      <protection locked="0"/>
    </xf>
    <xf numFmtId="1" fontId="54" fillId="0" borderId="7" xfId="0" applyNumberFormat="1" applyFont="1" applyBorder="1" applyAlignment="1" applyProtection="1">
      <alignment vertical="center" wrapText="1"/>
      <protection locked="0"/>
    </xf>
    <xf numFmtId="0" fontId="54" fillId="0" borderId="1" xfId="0" applyFont="1" applyBorder="1" applyProtection="1">
      <protection locked="0"/>
    </xf>
    <xf numFmtId="0" fontId="54" fillId="0" borderId="4" xfId="0" applyFont="1" applyBorder="1" applyProtection="1">
      <protection locked="0"/>
    </xf>
    <xf numFmtId="0" fontId="58" fillId="0" borderId="0" xfId="0" applyFont="1" applyProtection="1">
      <protection locked="0"/>
    </xf>
    <xf numFmtId="0" fontId="55" fillId="0" borderId="2" xfId="0" applyFont="1" applyBorder="1" applyAlignment="1" applyProtection="1">
      <alignment horizontal="center"/>
      <protection locked="0"/>
    </xf>
    <xf numFmtId="4" fontId="64" fillId="15" borderId="7" xfId="0" applyNumberFormat="1" applyFont="1" applyFill="1" applyBorder="1" applyAlignment="1" applyProtection="1">
      <alignment vertical="center" wrapText="1"/>
      <protection locked="0"/>
    </xf>
    <xf numFmtId="2" fontId="64" fillId="15" borderId="7" xfId="0" applyNumberFormat="1" applyFont="1" applyFill="1" applyBorder="1" applyAlignment="1" applyProtection="1">
      <alignment vertical="center" wrapText="1"/>
      <protection locked="0"/>
    </xf>
    <xf numFmtId="2" fontId="64" fillId="15" borderId="6" xfId="0" applyNumberFormat="1" applyFont="1" applyFill="1" applyBorder="1" applyAlignment="1" applyProtection="1">
      <alignment vertical="center" wrapText="1"/>
      <protection locked="0"/>
    </xf>
    <xf numFmtId="0" fontId="54" fillId="16" borderId="0" xfId="0" applyFont="1" applyFill="1" applyProtection="1">
      <protection locked="0"/>
    </xf>
    <xf numFmtId="0" fontId="46" fillId="0" borderId="7" xfId="0" applyFont="1" applyFill="1" applyBorder="1" applyAlignment="1" applyProtection="1">
      <alignment horizontal="right" vertical="center" wrapText="1"/>
      <protection locked="0"/>
    </xf>
    <xf numFmtId="0" fontId="46" fillId="0" borderId="7" xfId="0" applyFont="1" applyFill="1" applyBorder="1" applyAlignment="1" applyProtection="1">
      <alignment vertical="center" wrapText="1"/>
      <protection locked="0"/>
    </xf>
    <xf numFmtId="4" fontId="46" fillId="0" borderId="7" xfId="0" applyNumberFormat="1" applyFont="1" applyFill="1" applyBorder="1" applyAlignment="1" applyProtection="1">
      <alignment vertical="center" wrapText="1"/>
      <protection locked="0"/>
    </xf>
    <xf numFmtId="2" fontId="46" fillId="0" borderId="7" xfId="0" applyNumberFormat="1" applyFont="1" applyFill="1" applyBorder="1" applyAlignment="1" applyProtection="1">
      <alignment vertical="center" wrapText="1"/>
      <protection locked="0"/>
    </xf>
    <xf numFmtId="2" fontId="46" fillId="0" borderId="6" xfId="0" applyNumberFormat="1" applyFont="1" applyFill="1" applyBorder="1" applyAlignment="1" applyProtection="1">
      <alignment vertical="center" wrapText="1"/>
      <protection locked="0"/>
    </xf>
    <xf numFmtId="0" fontId="46" fillId="0" borderId="7" xfId="0" applyFont="1" applyBorder="1" applyAlignment="1" applyProtection="1">
      <alignment vertical="center" wrapText="1"/>
      <protection locked="0"/>
    </xf>
    <xf numFmtId="0" fontId="46" fillId="0" borderId="7" xfId="0" applyFont="1" applyBorder="1" applyAlignment="1">
      <alignment vertical="center" wrapText="1"/>
    </xf>
    <xf numFmtId="2" fontId="46" fillId="0" borderId="6" xfId="0" applyNumberFormat="1" applyFont="1" applyBorder="1" applyAlignment="1" applyProtection="1">
      <alignment vertical="center" wrapText="1"/>
      <protection locked="0"/>
    </xf>
    <xf numFmtId="0" fontId="64" fillId="15" borderId="7" xfId="0" applyFont="1" applyFill="1" applyBorder="1" applyAlignment="1" applyProtection="1">
      <alignment vertical="center" wrapText="1"/>
      <protection hidden="1"/>
    </xf>
    <xf numFmtId="0" fontId="64" fillId="0" borderId="7" xfId="0" applyFont="1" applyBorder="1" applyAlignment="1" applyProtection="1">
      <alignment vertical="center" wrapText="1"/>
      <protection hidden="1"/>
    </xf>
    <xf numFmtId="2" fontId="64" fillId="0" borderId="6" xfId="0" applyNumberFormat="1" applyFont="1" applyBorder="1" applyAlignment="1" applyProtection="1">
      <alignment vertical="center" wrapText="1"/>
      <protection locked="0"/>
    </xf>
    <xf numFmtId="0" fontId="63" fillId="0" borderId="0" xfId="0" applyFont="1"/>
    <xf numFmtId="0" fontId="31" fillId="0" borderId="0" xfId="0" applyFont="1"/>
    <xf numFmtId="0" fontId="7" fillId="0" borderId="0" xfId="0" applyFont="1"/>
    <xf numFmtId="0" fontId="63" fillId="0" borderId="0" xfId="0" applyFont="1" applyAlignment="1">
      <alignment horizontal="center"/>
    </xf>
    <xf numFmtId="0" fontId="27" fillId="2" borderId="4" xfId="0" quotePrefix="1" applyFont="1" applyFill="1" applyBorder="1" applyAlignment="1">
      <alignment horizontal="center" wrapText="1" shrinkToFit="1"/>
    </xf>
    <xf numFmtId="0" fontId="27" fillId="2" borderId="4" xfId="0" quotePrefix="1" applyFont="1" applyFill="1" applyBorder="1" applyAlignment="1">
      <alignment wrapText="1" shrinkToFit="1"/>
    </xf>
    <xf numFmtId="0" fontId="35" fillId="2" borderId="0" xfId="0" applyFont="1" applyFill="1" applyAlignment="1">
      <alignment shrinkToFit="1"/>
    </xf>
    <xf numFmtId="0" fontId="28" fillId="2" borderId="0" xfId="0" applyFont="1" applyFill="1" applyBorder="1" applyAlignment="1">
      <alignment horizontal="center" vertical="center" wrapText="1" shrinkToFit="1"/>
    </xf>
    <xf numFmtId="0" fontId="28" fillId="0" borderId="0" xfId="0" applyFont="1" applyFill="1" applyBorder="1" applyAlignment="1">
      <alignment horizontal="center" vertical="center" wrapText="1" shrinkToFit="1"/>
    </xf>
    <xf numFmtId="0" fontId="35" fillId="2" borderId="2" xfId="0" applyFont="1" applyFill="1" applyBorder="1" applyAlignment="1">
      <alignment shrinkToFit="1"/>
    </xf>
    <xf numFmtId="0" fontId="42" fillId="0" borderId="20" xfId="0" applyFont="1" applyFill="1" applyBorder="1"/>
    <xf numFmtId="0" fontId="42" fillId="0" borderId="7" xfId="0" applyFont="1" applyFill="1" applyBorder="1"/>
    <xf numFmtId="0" fontId="42" fillId="0" borderId="6" xfId="0" applyFont="1" applyFill="1" applyBorder="1"/>
    <xf numFmtId="0" fontId="35" fillId="13" borderId="20" xfId="0" applyFont="1" applyFill="1" applyBorder="1" applyAlignment="1">
      <alignment shrinkToFit="1"/>
    </xf>
    <xf numFmtId="0" fontId="35" fillId="13" borderId="7" xfId="0" applyFont="1" applyFill="1" applyBorder="1" applyAlignment="1">
      <alignment shrinkToFit="1"/>
    </xf>
    <xf numFmtId="0" fontId="37" fillId="13" borderId="7" xfId="0" applyFont="1" applyFill="1" applyBorder="1" applyAlignment="1">
      <alignment shrinkToFit="1"/>
    </xf>
    <xf numFmtId="0" fontId="35" fillId="13" borderId="6" xfId="0" applyFont="1" applyFill="1" applyBorder="1" applyAlignment="1">
      <alignment shrinkToFit="1"/>
    </xf>
    <xf numFmtId="0" fontId="1" fillId="0" borderId="20" xfId="0" applyFont="1" applyFill="1" applyBorder="1" applyAlignment="1">
      <alignment shrinkToFit="1"/>
    </xf>
    <xf numFmtId="0" fontId="1" fillId="0" borderId="7" xfId="0" applyFont="1" applyFill="1" applyBorder="1" applyAlignment="1">
      <alignment shrinkToFit="1"/>
    </xf>
    <xf numFmtId="0" fontId="1" fillId="0" borderId="6" xfId="0" applyFont="1" applyFill="1" applyBorder="1" applyAlignment="1">
      <alignment shrinkToFit="1"/>
    </xf>
    <xf numFmtId="0" fontId="35" fillId="0" borderId="0" xfId="0" applyFont="1" applyFill="1" applyBorder="1" applyAlignment="1">
      <alignment shrinkToFit="1"/>
    </xf>
    <xf numFmtId="0" fontId="37" fillId="0" borderId="0" xfId="0" applyFont="1" applyFill="1" applyBorder="1" applyAlignment="1">
      <alignment shrinkToFit="1"/>
    </xf>
    <xf numFmtId="0" fontId="45" fillId="0" borderId="0" xfId="0" applyFont="1" applyFill="1" applyBorder="1" applyAlignment="1">
      <alignment shrinkToFit="1"/>
    </xf>
    <xf numFmtId="0" fontId="45" fillId="2" borderId="26" xfId="0" applyFont="1" applyFill="1" applyBorder="1" applyAlignment="1">
      <alignment shrinkToFit="1"/>
    </xf>
    <xf numFmtId="0" fontId="45" fillId="2" borderId="7" xfId="0" applyFont="1" applyFill="1" applyBorder="1" applyAlignment="1">
      <alignment shrinkToFit="1"/>
    </xf>
    <xf numFmtId="0" fontId="45" fillId="2" borderId="6" xfId="0" applyFont="1" applyFill="1" applyBorder="1" applyAlignment="1">
      <alignment shrinkToFit="1"/>
    </xf>
    <xf numFmtId="0" fontId="45" fillId="2" borderId="4" xfId="0" applyFont="1" applyFill="1" applyBorder="1" applyAlignment="1">
      <alignment shrinkToFit="1"/>
    </xf>
    <xf numFmtId="168" fontId="49" fillId="0" borderId="20" xfId="0" applyNumberFormat="1" applyFont="1" applyBorder="1"/>
    <xf numFmtId="168" fontId="49" fillId="0" borderId="7" xfId="0" applyNumberFormat="1" applyFont="1" applyBorder="1"/>
    <xf numFmtId="168" fontId="49" fillId="0" borderId="6" xfId="0" applyNumberFormat="1" applyFont="1" applyBorder="1"/>
    <xf numFmtId="0" fontId="16" fillId="2" borderId="4" xfId="0" applyFont="1" applyFill="1" applyBorder="1" applyAlignment="1">
      <alignment horizontal="center" vertical="center" wrapText="1" shrinkToFit="1"/>
    </xf>
    <xf numFmtId="0" fontId="16" fillId="2" borderId="3" xfId="0" applyFont="1" applyFill="1" applyBorder="1" applyAlignment="1">
      <alignment vertical="center" wrapText="1" shrinkToFit="1"/>
    </xf>
    <xf numFmtId="0" fontId="16" fillId="2" borderId="2" xfId="0" applyFont="1" applyFill="1" applyBorder="1" applyAlignment="1">
      <alignment vertical="center" wrapText="1" shrinkToFit="1"/>
    </xf>
    <xf numFmtId="0" fontId="43" fillId="0" borderId="0" xfId="0" applyFont="1"/>
    <xf numFmtId="0" fontId="67" fillId="0" borderId="0" xfId="0" applyFont="1"/>
    <xf numFmtId="0" fontId="60" fillId="0" borderId="0" xfId="0" applyFont="1"/>
    <xf numFmtId="0" fontId="63" fillId="0" borderId="33" xfId="0" applyFont="1" applyBorder="1" applyAlignment="1">
      <alignment vertical="top" wrapText="1"/>
    </xf>
    <xf numFmtId="0" fontId="70" fillId="0" borderId="0" xfId="0" applyFont="1"/>
    <xf numFmtId="0" fontId="0" fillId="0" borderId="2" xfId="0" applyBorder="1"/>
    <xf numFmtId="0" fontId="63" fillId="0" borderId="2" xfId="0" applyFont="1" applyBorder="1" applyAlignment="1">
      <alignment vertical="top" wrapText="1"/>
    </xf>
    <xf numFmtId="0" fontId="0" fillId="0" borderId="35" xfId="0" applyBorder="1"/>
    <xf numFmtId="1" fontId="60" fillId="0" borderId="2" xfId="0" applyNumberFormat="1" applyFont="1" applyBorder="1" applyAlignment="1">
      <alignment horizontal="center"/>
    </xf>
    <xf numFmtId="0" fontId="0" fillId="0" borderId="38" xfId="0" applyBorder="1"/>
    <xf numFmtId="0" fontId="0" fillId="0" borderId="39" xfId="0" applyBorder="1"/>
    <xf numFmtId="0" fontId="62" fillId="0" borderId="39" xfId="0" applyFont="1" applyBorder="1" applyAlignment="1">
      <alignment horizontal="center"/>
    </xf>
    <xf numFmtId="0" fontId="0" fillId="0" borderId="40" xfId="0" applyBorder="1"/>
    <xf numFmtId="0" fontId="0" fillId="0" borderId="41" xfId="0" applyBorder="1"/>
    <xf numFmtId="0" fontId="55" fillId="0" borderId="29" xfId="0" applyFont="1" applyBorder="1" applyAlignment="1">
      <alignment horizontal="center" wrapText="1"/>
    </xf>
    <xf numFmtId="0" fontId="55" fillId="0" borderId="30" xfId="0" applyFont="1" applyBorder="1" applyAlignment="1">
      <alignment horizontal="center" wrapText="1"/>
    </xf>
    <xf numFmtId="0" fontId="6" fillId="0" borderId="30" xfId="0" applyFont="1" applyBorder="1" applyAlignment="1">
      <alignment horizontal="center" wrapText="1"/>
    </xf>
    <xf numFmtId="0" fontId="55" fillId="0" borderId="42" xfId="0" applyFont="1" applyBorder="1" applyAlignment="1">
      <alignment vertical="top" wrapText="1"/>
    </xf>
    <xf numFmtId="0" fontId="71" fillId="0" borderId="2" xfId="0" applyFont="1" applyBorder="1" applyAlignment="1">
      <alignment horizontal="center" wrapText="1"/>
    </xf>
    <xf numFmtId="0" fontId="71" fillId="0" borderId="2" xfId="0" applyFont="1" applyBorder="1" applyAlignment="1">
      <alignment horizontal="center" vertical="top" wrapText="1"/>
    </xf>
    <xf numFmtId="0" fontId="63" fillId="0" borderId="2" xfId="0" applyFont="1" applyBorder="1" applyAlignment="1">
      <alignment horizontal="center" wrapText="1"/>
    </xf>
    <xf numFmtId="0" fontId="63" fillId="0" borderId="2" xfId="0" applyFont="1" applyBorder="1" applyAlignment="1">
      <alignment horizontal="center" vertical="top" wrapText="1"/>
    </xf>
    <xf numFmtId="0" fontId="63" fillId="0" borderId="35" xfId="0" applyFont="1" applyBorder="1" applyAlignment="1">
      <alignment horizontal="center" wrapText="1"/>
    </xf>
    <xf numFmtId="0" fontId="72" fillId="0" borderId="2" xfId="0" applyFont="1" applyBorder="1" applyAlignment="1">
      <alignment horizontal="center" wrapText="1"/>
    </xf>
    <xf numFmtId="0" fontId="69" fillId="0" borderId="2" xfId="0" applyFont="1" applyBorder="1" applyAlignment="1">
      <alignment horizontal="center" wrapText="1"/>
    </xf>
    <xf numFmtId="0" fontId="55" fillId="0" borderId="36" xfId="0" applyFont="1" applyBorder="1" applyAlignment="1">
      <alignment vertical="top" wrapText="1"/>
    </xf>
    <xf numFmtId="0" fontId="73" fillId="0" borderId="37" xfId="0" applyFont="1" applyBorder="1" applyAlignment="1">
      <alignment horizontal="center" wrapText="1"/>
    </xf>
    <xf numFmtId="0" fontId="63" fillId="0" borderId="37" xfId="0" applyFont="1" applyBorder="1" applyAlignment="1">
      <alignment horizontal="center" wrapText="1"/>
    </xf>
    <xf numFmtId="0" fontId="63" fillId="0" borderId="37" xfId="0" applyFont="1" applyBorder="1" applyAlignment="1">
      <alignment horizontal="center" vertical="top" wrapText="1"/>
    </xf>
    <xf numFmtId="0" fontId="63" fillId="0" borderId="43" xfId="0" applyFont="1" applyBorder="1" applyAlignment="1">
      <alignment horizontal="center" wrapText="1"/>
    </xf>
    <xf numFmtId="0" fontId="6" fillId="0" borderId="29" xfId="0" applyFont="1" applyBorder="1" applyAlignment="1">
      <alignment horizontal="center" wrapText="1"/>
    </xf>
    <xf numFmtId="0" fontId="7" fillId="0" borderId="30" xfId="0" applyFont="1" applyBorder="1" applyAlignment="1">
      <alignment horizontal="center" wrapText="1"/>
    </xf>
    <xf numFmtId="2" fontId="0" fillId="0" borderId="0" xfId="0" applyNumberFormat="1"/>
    <xf numFmtId="0" fontId="56" fillId="0" borderId="0" xfId="0" applyFont="1"/>
    <xf numFmtId="0" fontId="62" fillId="0" borderId="0" xfId="0" applyFont="1"/>
    <xf numFmtId="1" fontId="75" fillId="0" borderId="2" xfId="0" applyNumberFormat="1" applyFont="1" applyBorder="1"/>
    <xf numFmtId="0" fontId="67" fillId="0" borderId="2" xfId="0" applyFont="1" applyBorder="1"/>
    <xf numFmtId="0" fontId="0" fillId="0" borderId="2" xfId="0" applyBorder="1" applyAlignment="1">
      <alignment horizontal="center"/>
    </xf>
    <xf numFmtId="0" fontId="54" fillId="0" borderId="2" xfId="0" applyFont="1" applyBorder="1" applyAlignment="1">
      <alignment horizontal="center"/>
    </xf>
    <xf numFmtId="0" fontId="0" fillId="0" borderId="44" xfId="0" applyBorder="1"/>
    <xf numFmtId="0" fontId="67" fillId="0" borderId="44" xfId="0" applyFont="1" applyBorder="1"/>
    <xf numFmtId="0" fontId="0" fillId="0" borderId="45" xfId="0" applyBorder="1"/>
    <xf numFmtId="0" fontId="67" fillId="0" borderId="45" xfId="0" applyFont="1" applyBorder="1"/>
    <xf numFmtId="0" fontId="61" fillId="0" borderId="45" xfId="0" applyFont="1" applyBorder="1"/>
    <xf numFmtId="0" fontId="26" fillId="0" borderId="46" xfId="0" applyFont="1" applyBorder="1"/>
    <xf numFmtId="0" fontId="61" fillId="0" borderId="46" xfId="0" applyFont="1" applyBorder="1"/>
    <xf numFmtId="0" fontId="55" fillId="0" borderId="2" xfId="0" applyFont="1" applyBorder="1" applyAlignment="1">
      <alignment horizontal="center"/>
    </xf>
    <xf numFmtId="0" fontId="67" fillId="0" borderId="47" xfId="0" applyFont="1" applyBorder="1"/>
    <xf numFmtId="0" fontId="67" fillId="0" borderId="46" xfId="0" applyFont="1" applyBorder="1"/>
    <xf numFmtId="0" fontId="0" fillId="0" borderId="46" xfId="0" applyBorder="1"/>
    <xf numFmtId="0" fontId="55" fillId="0" borderId="2" xfId="0" applyFont="1" applyBorder="1" applyAlignment="1">
      <alignment horizontal="center" vertical="center"/>
    </xf>
    <xf numFmtId="0" fontId="0" fillId="0" borderId="47" xfId="0" applyBorder="1"/>
    <xf numFmtId="0" fontId="64" fillId="0" borderId="45" xfId="0" applyFont="1" applyBorder="1"/>
    <xf numFmtId="0" fontId="67" fillId="0" borderId="2" xfId="0" applyFont="1" applyBorder="1" applyAlignment="1">
      <alignment horizontal="center"/>
    </xf>
    <xf numFmtId="0" fontId="54"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54" fillId="0" borderId="2" xfId="0" applyFont="1" applyBorder="1"/>
    <xf numFmtId="0" fontId="43" fillId="0" borderId="2" xfId="0" applyFont="1" applyBorder="1"/>
    <xf numFmtId="0" fontId="62" fillId="0" borderId="2" xfId="0" applyFont="1" applyBorder="1"/>
    <xf numFmtId="1" fontId="39" fillId="0" borderId="2" xfId="0" applyNumberFormat="1" applyFont="1" applyFill="1" applyBorder="1" applyAlignment="1">
      <alignment shrinkToFit="1"/>
    </xf>
    <xf numFmtId="0" fontId="38" fillId="0" borderId="11" xfId="0" applyFont="1" applyFill="1" applyBorder="1" applyAlignment="1">
      <alignment shrinkToFit="1"/>
    </xf>
    <xf numFmtId="0" fontId="78" fillId="2" borderId="2" xfId="0" applyFont="1" applyFill="1" applyBorder="1" applyAlignment="1">
      <alignment shrinkToFit="1"/>
    </xf>
    <xf numFmtId="0" fontId="39" fillId="2" borderId="2" xfId="0" applyFont="1" applyFill="1" applyBorder="1" applyAlignment="1">
      <alignment shrinkToFit="1"/>
    </xf>
    <xf numFmtId="0" fontId="38" fillId="2" borderId="2" xfId="0" applyFont="1" applyFill="1" applyBorder="1" applyAlignment="1">
      <alignment shrinkToFit="1"/>
    </xf>
    <xf numFmtId="1" fontId="69" fillId="0" borderId="32" xfId="0" applyNumberFormat="1" applyFont="1" applyBorder="1" applyAlignment="1">
      <alignment horizontal="center" vertical="top" wrapText="1"/>
    </xf>
    <xf numFmtId="1" fontId="79" fillId="0" borderId="2" xfId="0" applyNumberFormat="1" applyFont="1" applyBorder="1"/>
    <xf numFmtId="0" fontId="79" fillId="0" borderId="2" xfId="0" applyFont="1" applyBorder="1"/>
    <xf numFmtId="0" fontId="0" fillId="12" borderId="46" xfId="0" applyFill="1" applyBorder="1"/>
    <xf numFmtId="0" fontId="0" fillId="12" borderId="45" xfId="0" applyFill="1" applyBorder="1"/>
    <xf numFmtId="0" fontId="0" fillId="12" borderId="44" xfId="0" applyFill="1" applyBorder="1"/>
    <xf numFmtId="0" fontId="80" fillId="0" borderId="2" xfId="0" applyFont="1" applyBorder="1"/>
    <xf numFmtId="0" fontId="43" fillId="0" borderId="44" xfId="0" applyFont="1" applyBorder="1"/>
    <xf numFmtId="0" fontId="43" fillId="12" borderId="44" xfId="0" applyFont="1" applyFill="1" applyBorder="1"/>
    <xf numFmtId="0" fontId="73" fillId="0" borderId="2" xfId="0" applyFont="1" applyBorder="1" applyAlignment="1">
      <alignment horizontal="center" wrapText="1"/>
    </xf>
    <xf numFmtId="0" fontId="55" fillId="0" borderId="2" xfId="0" applyFont="1" applyBorder="1" applyAlignment="1"/>
    <xf numFmtId="0" fontId="43" fillId="0" borderId="44" xfId="0" applyFont="1" applyFill="1" applyBorder="1"/>
    <xf numFmtId="0" fontId="0" fillId="0" borderId="44" xfId="0" applyFill="1" applyBorder="1"/>
    <xf numFmtId="0" fontId="27" fillId="14" borderId="7" xfId="0" applyFont="1" applyFill="1" applyBorder="1" applyAlignment="1">
      <alignment shrinkToFit="1"/>
    </xf>
    <xf numFmtId="14" fontId="9" fillId="14" borderId="2" xfId="0" quotePrefix="1" applyNumberFormat="1" applyFont="1" applyFill="1" applyBorder="1" applyAlignment="1">
      <alignment horizontal="center" vertical="center" wrapText="1"/>
    </xf>
    <xf numFmtId="14" fontId="38" fillId="14" borderId="7" xfId="0" quotePrefix="1" applyNumberFormat="1" applyFont="1" applyFill="1" applyBorder="1" applyAlignment="1">
      <alignment horizontal="right" shrinkToFit="1"/>
    </xf>
    <xf numFmtId="0" fontId="38" fillId="14" borderId="7" xfId="0" applyFont="1" applyFill="1" applyBorder="1" applyAlignment="1">
      <alignment shrinkToFit="1"/>
    </xf>
    <xf numFmtId="0" fontId="2" fillId="14" borderId="7" xfId="0" applyNumberFormat="1" applyFont="1" applyFill="1" applyBorder="1" applyAlignment="1"/>
    <xf numFmtId="165" fontId="27" fillId="14" borderId="6" xfId="0" applyNumberFormat="1" applyFont="1" applyFill="1" applyBorder="1" applyAlignment="1">
      <alignment shrinkToFit="1"/>
    </xf>
    <xf numFmtId="0" fontId="38" fillId="14" borderId="5" xfId="0" applyFont="1" applyFill="1" applyBorder="1" applyAlignment="1">
      <alignment horizontal="right" shrinkToFit="1"/>
    </xf>
    <xf numFmtId="0" fontId="38" fillId="14" borderId="7" xfId="0" applyFont="1" applyFill="1" applyBorder="1" applyAlignment="1">
      <alignment horizontal="right" shrinkToFit="1"/>
    </xf>
    <xf numFmtId="0" fontId="27" fillId="14" borderId="20" xfId="0" quotePrefix="1" applyFont="1" applyFill="1" applyBorder="1" applyAlignment="1">
      <alignment horizontal="right" shrinkToFit="1"/>
    </xf>
    <xf numFmtId="0" fontId="27" fillId="14" borderId="7" xfId="0" applyFont="1" applyFill="1" applyBorder="1" applyAlignment="1">
      <alignment horizontal="right" shrinkToFit="1"/>
    </xf>
    <xf numFmtId="0" fontId="27" fillId="14" borderId="6" xfId="0" applyFont="1" applyFill="1" applyBorder="1" applyAlignment="1">
      <alignment horizontal="right" shrinkToFit="1"/>
    </xf>
    <xf numFmtId="0" fontId="38" fillId="14" borderId="6" xfId="0" applyFont="1" applyFill="1" applyBorder="1" applyAlignment="1">
      <alignment shrinkToFit="1"/>
    </xf>
    <xf numFmtId="167" fontId="38" fillId="14" borderId="7" xfId="0" applyNumberFormat="1" applyFont="1" applyFill="1" applyBorder="1" applyAlignment="1">
      <alignment horizontal="right" shrinkToFit="1"/>
    </xf>
    <xf numFmtId="167" fontId="38" fillId="14" borderId="6" xfId="0" applyNumberFormat="1" applyFont="1" applyFill="1" applyBorder="1" applyAlignment="1">
      <alignment horizontal="right" shrinkToFit="1"/>
    </xf>
    <xf numFmtId="0" fontId="35" fillId="14" borderId="3" xfId="0" applyFont="1" applyFill="1" applyBorder="1" applyAlignment="1">
      <alignment shrinkToFit="1"/>
    </xf>
    <xf numFmtId="14" fontId="38" fillId="14" borderId="6" xfId="0" applyNumberFormat="1" applyFont="1" applyFill="1" applyBorder="1" applyAlignment="1">
      <alignment horizontal="center" vertical="center" shrinkToFit="1"/>
    </xf>
    <xf numFmtId="0" fontId="38" fillId="14" borderId="6" xfId="0" applyFont="1" applyFill="1" applyBorder="1" applyAlignment="1">
      <alignment horizontal="right" shrinkToFit="1"/>
    </xf>
    <xf numFmtId="0" fontId="38" fillId="14" borderId="6" xfId="0" quotePrefix="1" applyFont="1" applyFill="1" applyBorder="1" applyAlignment="1">
      <alignment horizontal="right" shrinkToFit="1"/>
    </xf>
    <xf numFmtId="0" fontId="38" fillId="14" borderId="6" xfId="0" quotePrefix="1" applyNumberFormat="1" applyFont="1" applyFill="1" applyBorder="1" applyAlignment="1">
      <alignment shrinkToFit="1"/>
    </xf>
    <xf numFmtId="0" fontId="38" fillId="14" borderId="6" xfId="0" applyFont="1" applyFill="1" applyBorder="1" applyAlignment="1">
      <alignment horizontal="center" shrinkToFit="1"/>
    </xf>
    <xf numFmtId="165" fontId="38" fillId="14" borderId="6" xfId="0" applyNumberFormat="1" applyFont="1" applyFill="1" applyBorder="1" applyAlignment="1">
      <alignment shrinkToFit="1"/>
    </xf>
    <xf numFmtId="0" fontId="37" fillId="14" borderId="3" xfId="0" quotePrefix="1" applyFont="1" applyFill="1" applyBorder="1" applyAlignment="1">
      <alignment shrinkToFit="1"/>
    </xf>
    <xf numFmtId="0" fontId="37" fillId="14" borderId="0" xfId="0" applyFont="1" applyFill="1" applyAlignment="1">
      <alignment shrinkToFit="1"/>
    </xf>
    <xf numFmtId="22" fontId="81" fillId="9" borderId="0" xfId="0" applyNumberFormat="1" applyFont="1" applyFill="1" applyAlignment="1">
      <alignment shrinkToFit="1"/>
    </xf>
    <xf numFmtId="22" fontId="81" fillId="9" borderId="0" xfId="0" applyNumberFormat="1" applyFont="1" applyFill="1"/>
    <xf numFmtId="0" fontId="82" fillId="9" borderId="0" xfId="0" applyFont="1" applyFill="1" applyAlignment="1">
      <alignment shrinkToFit="1"/>
    </xf>
    <xf numFmtId="0" fontId="82" fillId="9" borderId="0" xfId="0" applyFont="1" applyFill="1"/>
    <xf numFmtId="0" fontId="3" fillId="0" borderId="0" xfId="0" applyFont="1" applyFill="1" applyAlignment="1">
      <alignment horizontal="center"/>
    </xf>
    <xf numFmtId="14" fontId="3" fillId="0" borderId="2" xfId="0" applyNumberFormat="1" applyFont="1" applyFill="1" applyBorder="1" applyAlignment="1">
      <alignment horizontal="center" vertical="center" shrinkToFit="1"/>
    </xf>
    <xf numFmtId="0" fontId="1" fillId="0" borderId="2" xfId="0" applyNumberFormat="1" applyFont="1" applyFill="1" applyBorder="1" applyAlignment="1">
      <alignment horizontal="center" vertical="center"/>
    </xf>
    <xf numFmtId="0" fontId="1" fillId="0" borderId="20" xfId="0" applyNumberFormat="1" applyFont="1" applyFill="1" applyBorder="1" applyAlignment="1">
      <alignment horizontal="center" vertical="center"/>
    </xf>
    <xf numFmtId="0" fontId="1" fillId="0" borderId="5"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1" fillId="0" borderId="7"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3" fillId="0" borderId="2" xfId="0" applyNumberFormat="1" applyFont="1" applyFill="1" applyBorder="1" applyAlignment="1">
      <alignment horizontal="center"/>
    </xf>
    <xf numFmtId="0" fontId="3" fillId="0" borderId="0" xfId="0" applyNumberFormat="1" applyFont="1" applyFill="1" applyAlignment="1">
      <alignment horizontal="center"/>
    </xf>
    <xf numFmtId="0" fontId="83" fillId="9" borderId="0" xfId="0" applyFont="1" applyFill="1" applyAlignment="1">
      <alignment horizontal="center"/>
    </xf>
    <xf numFmtId="0" fontId="26" fillId="0" borderId="0" xfId="0" applyFont="1" applyFill="1" applyAlignment="1">
      <alignment horizontal="center"/>
    </xf>
    <xf numFmtId="0" fontId="84" fillId="0" borderId="0" xfId="0" applyFont="1" applyFill="1" applyAlignment="1">
      <alignment horizontal="center"/>
    </xf>
    <xf numFmtId="0" fontId="84" fillId="0" borderId="0" xfId="0" applyFont="1" applyFill="1" applyAlignment="1">
      <alignment horizontal="center" vertical="top"/>
    </xf>
    <xf numFmtId="0" fontId="78" fillId="17" borderId="2" xfId="0" applyFont="1" applyFill="1" applyBorder="1" applyAlignment="1">
      <alignment horizontal="center" vertical="center" wrapText="1"/>
    </xf>
    <xf numFmtId="0" fontId="78" fillId="17" borderId="2" xfId="0" applyFont="1" applyFill="1" applyBorder="1" applyAlignment="1">
      <alignment vertical="center" wrapText="1"/>
    </xf>
    <xf numFmtId="14" fontId="86" fillId="17" borderId="2" xfId="0" applyNumberFormat="1" applyFont="1" applyFill="1" applyBorder="1" applyAlignment="1">
      <alignment horizontal="center" vertical="center"/>
    </xf>
    <xf numFmtId="0" fontId="22" fillId="9" borderId="7" xfId="0" applyFont="1" applyFill="1" applyBorder="1" applyAlignment="1"/>
    <xf numFmtId="0" fontId="2" fillId="9" borderId="7" xfId="0" applyFont="1" applyFill="1" applyBorder="1" applyAlignment="1"/>
    <xf numFmtId="166" fontId="87" fillId="0" borderId="7" xfId="0" applyNumberFormat="1" applyFont="1" applyFill="1" applyBorder="1" applyAlignment="1"/>
    <xf numFmtId="166" fontId="87" fillId="0" borderId="5" xfId="0" quotePrefix="1" applyNumberFormat="1" applyFont="1" applyFill="1" applyBorder="1" applyAlignment="1"/>
    <xf numFmtId="166" fontId="87" fillId="0" borderId="7" xfId="0" quotePrefix="1" applyNumberFormat="1" applyFont="1" applyFill="1" applyBorder="1" applyAlignment="1"/>
    <xf numFmtId="166" fontId="2" fillId="0" borderId="5" xfId="0" applyNumberFormat="1" applyFont="1" applyFill="1" applyBorder="1" applyAlignment="1">
      <alignment horizontal="right"/>
    </xf>
    <xf numFmtId="166" fontId="2" fillId="0" borderId="7" xfId="0" applyNumberFormat="1" applyFont="1" applyFill="1" applyBorder="1" applyAlignment="1">
      <alignment horizontal="right"/>
    </xf>
    <xf numFmtId="0" fontId="0" fillId="0" borderId="0" xfId="0" applyAlignment="1">
      <alignment horizontal="right" shrinkToFit="1"/>
    </xf>
    <xf numFmtId="166" fontId="2" fillId="2" borderId="7" xfId="0" applyNumberFormat="1" applyFont="1" applyFill="1" applyBorder="1" applyAlignment="1">
      <alignment horizontal="right"/>
    </xf>
    <xf numFmtId="166" fontId="2" fillId="9" borderId="2" xfId="0" applyNumberFormat="1" applyFont="1" applyFill="1" applyBorder="1" applyAlignment="1">
      <alignment horizontal="right"/>
    </xf>
    <xf numFmtId="14" fontId="2" fillId="0" borderId="5" xfId="0" applyNumberFormat="1" applyFont="1" applyFill="1" applyBorder="1" applyAlignment="1">
      <alignment horizontal="right"/>
    </xf>
    <xf numFmtId="14" fontId="2" fillId="0" borderId="7" xfId="0" applyNumberFormat="1" applyFont="1" applyFill="1" applyBorder="1" applyAlignment="1">
      <alignment horizontal="right"/>
    </xf>
    <xf numFmtId="0" fontId="27" fillId="14" borderId="7" xfId="0" applyFont="1" applyFill="1" applyBorder="1" applyAlignment="1">
      <alignment horizontal="center" shrinkToFit="1"/>
    </xf>
    <xf numFmtId="0" fontId="38" fillId="2" borderId="20" xfId="0" applyFont="1" applyFill="1" applyBorder="1" applyAlignment="1">
      <alignment shrinkToFit="1"/>
    </xf>
    <xf numFmtId="14" fontId="29" fillId="9" borderId="0" xfId="0" applyNumberFormat="1" applyFont="1" applyFill="1"/>
    <xf numFmtId="0" fontId="38" fillId="2" borderId="6" xfId="0" applyFont="1" applyFill="1" applyBorder="1" applyAlignment="1">
      <alignment shrinkToFit="1"/>
    </xf>
    <xf numFmtId="14" fontId="38" fillId="14" borderId="6" xfId="0" quotePrefix="1" applyNumberFormat="1" applyFont="1" applyFill="1" applyBorder="1" applyAlignment="1">
      <alignment horizontal="right" shrinkToFit="1"/>
    </xf>
    <xf numFmtId="0" fontId="1" fillId="9" borderId="2" xfId="0" applyNumberFormat="1" applyFont="1" applyFill="1" applyBorder="1" applyAlignment="1">
      <alignment horizontal="center" vertical="center"/>
    </xf>
    <xf numFmtId="4" fontId="21" fillId="5" borderId="7" xfId="0" applyNumberFormat="1" applyFont="1" applyFill="1" applyBorder="1" applyAlignment="1">
      <alignment horizontal="center" vertical="center"/>
    </xf>
    <xf numFmtId="0" fontId="15" fillId="5" borderId="7" xfId="0" quotePrefix="1" applyNumberFormat="1" applyFont="1" applyFill="1" applyBorder="1" applyAlignment="1">
      <alignment horizontal="center" vertical="center"/>
    </xf>
    <xf numFmtId="0" fontId="27" fillId="5" borderId="7" xfId="0" applyFont="1" applyFill="1" applyBorder="1" applyAlignment="1">
      <alignment shrinkToFit="1"/>
    </xf>
    <xf numFmtId="0" fontId="27" fillId="14" borderId="20" xfId="0" applyFont="1" applyFill="1" applyBorder="1" applyAlignment="1">
      <alignment shrinkToFit="1"/>
    </xf>
    <xf numFmtId="14" fontId="2" fillId="0" borderId="7" xfId="0" quotePrefix="1" applyNumberFormat="1" applyFont="1" applyFill="1" applyBorder="1" applyAlignment="1">
      <alignment horizontal="right"/>
    </xf>
    <xf numFmtId="0" fontId="38" fillId="5" borderId="7" xfId="0" applyFont="1" applyFill="1" applyBorder="1" applyAlignment="1">
      <alignment shrinkToFit="1"/>
    </xf>
    <xf numFmtId="0" fontId="28" fillId="5" borderId="10" xfId="0" applyFont="1" applyFill="1" applyBorder="1" applyAlignment="1">
      <alignment horizontal="center" vertical="center" shrinkToFit="1"/>
    </xf>
    <xf numFmtId="0" fontId="28" fillId="5" borderId="11" xfId="0" applyFont="1" applyFill="1" applyBorder="1" applyAlignment="1">
      <alignment horizontal="center" vertical="center" shrinkToFit="1"/>
    </xf>
    <xf numFmtId="0" fontId="28" fillId="5" borderId="12" xfId="0" applyFont="1" applyFill="1" applyBorder="1" applyAlignment="1">
      <alignment horizontal="center" vertical="center" shrinkToFit="1"/>
    </xf>
    <xf numFmtId="0" fontId="28" fillId="5" borderId="3" xfId="0" applyFont="1" applyFill="1" applyBorder="1" applyAlignment="1">
      <alignment horizontal="center" vertical="center" shrinkToFit="1"/>
    </xf>
    <xf numFmtId="0" fontId="28" fillId="5" borderId="4" xfId="0" applyFont="1" applyFill="1" applyBorder="1" applyAlignment="1">
      <alignment horizontal="center" vertical="center" shrinkToFit="1"/>
    </xf>
    <xf numFmtId="0" fontId="28" fillId="5" borderId="3" xfId="0" applyFont="1" applyFill="1" applyBorder="1" applyAlignment="1">
      <alignment horizontal="center" vertical="center" wrapText="1" shrinkToFit="1"/>
    </xf>
    <xf numFmtId="0" fontId="28" fillId="5" borderId="4" xfId="0" applyFont="1" applyFill="1" applyBorder="1" applyAlignment="1">
      <alignment horizontal="center" vertical="center" wrapText="1" shrinkToFit="1"/>
    </xf>
    <xf numFmtId="0" fontId="28" fillId="5" borderId="2" xfId="0" applyNumberFormat="1" applyFont="1" applyFill="1" applyBorder="1" applyAlignment="1">
      <alignment horizontal="center" vertical="center" shrinkToFit="1"/>
    </xf>
    <xf numFmtId="49" fontId="28" fillId="5" borderId="2" xfId="0" applyNumberFormat="1" applyFont="1" applyFill="1" applyBorder="1" applyAlignment="1">
      <alignment horizontal="center" vertical="center" shrinkToFit="1"/>
    </xf>
    <xf numFmtId="49" fontId="28" fillId="5" borderId="1" xfId="0" applyNumberFormat="1" applyFont="1" applyFill="1" applyBorder="1" applyAlignment="1">
      <alignment horizontal="center" vertical="center" shrinkToFit="1"/>
    </xf>
    <xf numFmtId="49" fontId="28" fillId="5" borderId="3" xfId="0" applyNumberFormat="1" applyFont="1" applyFill="1" applyBorder="1" applyAlignment="1">
      <alignment horizontal="center" vertical="center" shrinkToFit="1"/>
    </xf>
    <xf numFmtId="0" fontId="28" fillId="5" borderId="2" xfId="0" applyFont="1" applyFill="1" applyBorder="1" applyAlignment="1">
      <alignment horizontal="center" vertical="center" shrinkToFit="1"/>
    </xf>
    <xf numFmtId="49" fontId="28" fillId="5" borderId="1" xfId="0" applyNumberFormat="1" applyFont="1" applyFill="1" applyBorder="1" applyAlignment="1">
      <alignment horizontal="center" vertical="center" wrapText="1" shrinkToFit="1"/>
    </xf>
    <xf numFmtId="49" fontId="28" fillId="5" borderId="3" xfId="0" applyNumberFormat="1" applyFont="1" applyFill="1" applyBorder="1" applyAlignment="1">
      <alignment horizontal="center" vertical="center" wrapText="1" shrinkToFit="1"/>
    </xf>
    <xf numFmtId="49" fontId="28" fillId="5" borderId="4" xfId="0" applyNumberFormat="1" applyFont="1" applyFill="1" applyBorder="1" applyAlignment="1">
      <alignment horizontal="center" vertical="center" wrapText="1" shrinkToFit="1"/>
    </xf>
    <xf numFmtId="49" fontId="28" fillId="5" borderId="5" xfId="0" applyNumberFormat="1" applyFont="1" applyFill="1" applyBorder="1" applyAlignment="1">
      <alignment horizontal="center" vertical="center" shrinkToFit="1"/>
    </xf>
    <xf numFmtId="49" fontId="28" fillId="5" borderId="7" xfId="0" applyNumberFormat="1" applyFont="1" applyFill="1" applyBorder="1" applyAlignment="1">
      <alignment horizontal="center" vertical="center" shrinkToFit="1"/>
    </xf>
    <xf numFmtId="49" fontId="28" fillId="5" borderId="8" xfId="0" applyNumberFormat="1" applyFont="1" applyFill="1" applyBorder="1" applyAlignment="1">
      <alignment horizontal="center" vertical="center" shrinkToFit="1"/>
    </xf>
    <xf numFmtId="0" fontId="28" fillId="5" borderId="1" xfId="0" applyNumberFormat="1" applyFont="1" applyFill="1" applyBorder="1" applyAlignment="1">
      <alignment horizontal="center" vertical="center" shrinkToFit="1"/>
    </xf>
    <xf numFmtId="0" fontId="28" fillId="5" borderId="3" xfId="0" applyNumberFormat="1" applyFont="1" applyFill="1" applyBorder="1" applyAlignment="1">
      <alignment horizontal="center" vertical="center" shrinkToFit="1"/>
    </xf>
    <xf numFmtId="0" fontId="28" fillId="5" borderId="4" xfId="0" applyNumberFormat="1" applyFont="1" applyFill="1" applyBorder="1" applyAlignment="1">
      <alignment horizontal="center" vertical="center" shrinkToFit="1"/>
    </xf>
    <xf numFmtId="49" fontId="28" fillId="5" borderId="16" xfId="0" applyNumberFormat="1" applyFont="1" applyFill="1" applyBorder="1" applyAlignment="1">
      <alignment horizontal="center" vertical="center" shrinkToFit="1"/>
    </xf>
    <xf numFmtId="49" fontId="28" fillId="5" borderId="15" xfId="0" applyNumberFormat="1" applyFont="1" applyFill="1" applyBorder="1" applyAlignment="1">
      <alignment horizontal="center" vertical="center" shrinkToFit="1"/>
    </xf>
    <xf numFmtId="49" fontId="28" fillId="5" borderId="19" xfId="0" applyNumberFormat="1" applyFont="1" applyFill="1" applyBorder="1" applyAlignment="1">
      <alignment horizontal="center" vertical="center" shrinkToFit="1"/>
    </xf>
    <xf numFmtId="49" fontId="28" fillId="5" borderId="14" xfId="0" applyNumberFormat="1" applyFont="1" applyFill="1" applyBorder="1" applyAlignment="1">
      <alignment horizontal="center" vertical="center" shrinkToFit="1"/>
    </xf>
    <xf numFmtId="14" fontId="28" fillId="5" borderId="2" xfId="0" applyNumberFormat="1" applyFont="1" applyFill="1" applyBorder="1" applyAlignment="1">
      <alignment horizontal="center" vertical="center" wrapText="1" shrinkToFit="1"/>
    </xf>
    <xf numFmtId="14" fontId="28" fillId="5" borderId="10" xfId="0" applyNumberFormat="1" applyFont="1" applyFill="1" applyBorder="1" applyAlignment="1">
      <alignment horizontal="center" vertical="center" shrinkToFit="1"/>
    </xf>
    <xf numFmtId="14" fontId="28" fillId="5" borderId="11" xfId="0" applyNumberFormat="1" applyFont="1" applyFill="1" applyBorder="1" applyAlignment="1">
      <alignment horizontal="center" vertical="center" shrinkToFit="1"/>
    </xf>
    <xf numFmtId="14" fontId="28" fillId="5" borderId="12" xfId="0" applyNumberFormat="1" applyFont="1" applyFill="1" applyBorder="1" applyAlignment="1">
      <alignment horizontal="center" vertical="center" shrinkToFit="1"/>
    </xf>
    <xf numFmtId="14" fontId="28" fillId="5" borderId="2" xfId="0" applyNumberFormat="1" applyFont="1" applyFill="1" applyBorder="1" applyAlignment="1">
      <alignment horizontal="center" vertical="center" shrinkToFit="1"/>
    </xf>
    <xf numFmtId="14" fontId="16" fillId="5" borderId="2" xfId="0" applyNumberFormat="1" applyFont="1" applyFill="1" applyBorder="1" applyAlignment="1">
      <alignment horizontal="center" vertical="center" wrapText="1" shrinkToFit="1"/>
    </xf>
    <xf numFmtId="0" fontId="28" fillId="5" borderId="2" xfId="0" applyNumberFormat="1" applyFont="1" applyFill="1" applyBorder="1" applyAlignment="1">
      <alignment horizontal="center" vertical="center" wrapText="1" shrinkToFit="1"/>
    </xf>
    <xf numFmtId="49" fontId="28" fillId="5" borderId="2" xfId="0" applyNumberFormat="1" applyFont="1" applyFill="1" applyBorder="1" applyAlignment="1">
      <alignment horizontal="center" vertical="center" wrapText="1" shrinkToFit="1"/>
    </xf>
    <xf numFmtId="0" fontId="28" fillId="5" borderId="1" xfId="0" applyFont="1" applyFill="1" applyBorder="1" applyAlignment="1">
      <alignment horizontal="center" vertical="center" wrapText="1" shrinkToFit="1"/>
    </xf>
    <xf numFmtId="49" fontId="28" fillId="5" borderId="4" xfId="0" applyNumberFormat="1" applyFont="1" applyFill="1" applyBorder="1" applyAlignment="1">
      <alignment horizontal="center" vertical="center" shrinkToFit="1"/>
    </xf>
    <xf numFmtId="164" fontId="28" fillId="5" borderId="2" xfId="0" applyNumberFormat="1" applyFont="1" applyFill="1" applyBorder="1" applyAlignment="1">
      <alignment horizontal="center" vertical="center" shrinkToFit="1"/>
    </xf>
    <xf numFmtId="0" fontId="28" fillId="5" borderId="14" xfId="0" applyFont="1" applyFill="1" applyBorder="1" applyAlignment="1">
      <alignment horizontal="center" vertical="center" shrinkToFit="1"/>
    </xf>
    <xf numFmtId="0" fontId="28" fillId="5" borderId="13" xfId="0" applyFont="1" applyFill="1" applyBorder="1" applyAlignment="1">
      <alignment horizontal="center" vertical="center" shrinkToFit="1"/>
    </xf>
    <xf numFmtId="0" fontId="28" fillId="5" borderId="1" xfId="0" applyFont="1" applyFill="1" applyBorder="1" applyAlignment="1">
      <alignment horizontal="center" vertical="center" shrinkToFit="1"/>
    </xf>
    <xf numFmtId="0" fontId="17" fillId="9" borderId="10" xfId="0" applyFont="1" applyFill="1" applyBorder="1" applyAlignment="1">
      <alignment horizontal="center" shrinkToFit="1"/>
    </xf>
    <xf numFmtId="0" fontId="17" fillId="9" borderId="12" xfId="0" applyFont="1" applyFill="1" applyBorder="1" applyAlignment="1">
      <alignment horizontal="center" shrinkToFit="1"/>
    </xf>
    <xf numFmtId="0" fontId="17" fillId="9" borderId="16" xfId="0" applyFont="1" applyFill="1" applyBorder="1" applyAlignment="1">
      <alignment horizontal="center" shrinkToFit="1"/>
    </xf>
    <xf numFmtId="0" fontId="17" fillId="9" borderId="17" xfId="0" applyFont="1" applyFill="1" applyBorder="1" applyAlignment="1">
      <alignment horizontal="center" shrinkToFit="1"/>
    </xf>
    <xf numFmtId="0" fontId="17" fillId="9" borderId="15" xfId="0" applyFont="1" applyFill="1" applyBorder="1" applyAlignment="1">
      <alignment horizontal="center" shrinkToFit="1"/>
    </xf>
    <xf numFmtId="0" fontId="16" fillId="11" borderId="10" xfId="0" applyFont="1" applyFill="1" applyBorder="1" applyAlignment="1">
      <alignment horizontal="center" shrinkToFit="1"/>
    </xf>
    <xf numFmtId="0" fontId="16" fillId="11" borderId="11" xfId="0" applyFont="1" applyFill="1" applyBorder="1" applyAlignment="1">
      <alignment horizontal="center" shrinkToFit="1"/>
    </xf>
    <xf numFmtId="0" fontId="0" fillId="2" borderId="2" xfId="0" applyFill="1" applyBorder="1" applyAlignment="1">
      <alignment horizontal="center" shrinkToFit="1"/>
    </xf>
    <xf numFmtId="0" fontId="0" fillId="2" borderId="10" xfId="0" applyFill="1" applyBorder="1" applyAlignment="1">
      <alignment horizontal="center" shrinkToFit="1"/>
    </xf>
    <xf numFmtId="0" fontId="0" fillId="2" borderId="11" xfId="0" applyFill="1" applyBorder="1" applyAlignment="1">
      <alignment horizontal="center" shrinkToFit="1"/>
    </xf>
    <xf numFmtId="0" fontId="0" fillId="2" borderId="12" xfId="0" applyFill="1" applyBorder="1" applyAlignment="1">
      <alignment horizontal="center" shrinkToFit="1"/>
    </xf>
    <xf numFmtId="0" fontId="14" fillId="2" borderId="10" xfId="0" applyFont="1" applyFill="1" applyBorder="1" applyAlignment="1">
      <alignment horizontal="center" shrinkToFit="1"/>
    </xf>
    <xf numFmtId="0" fontId="14" fillId="2" borderId="11" xfId="0" applyFont="1" applyFill="1" applyBorder="1" applyAlignment="1">
      <alignment horizontal="center" shrinkToFit="1"/>
    </xf>
    <xf numFmtId="0" fontId="14" fillId="2" borderId="12" xfId="0" applyFont="1" applyFill="1" applyBorder="1" applyAlignment="1">
      <alignment horizontal="center" shrinkToFit="1"/>
    </xf>
    <xf numFmtId="0" fontId="0" fillId="2" borderId="1" xfId="0" applyFill="1" applyBorder="1" applyAlignment="1">
      <alignment horizontal="center" shrinkToFit="1"/>
    </xf>
    <xf numFmtId="0" fontId="0" fillId="2" borderId="4" xfId="0" applyFill="1" applyBorder="1" applyAlignment="1">
      <alignment horizontal="center" shrinkToFit="1"/>
    </xf>
    <xf numFmtId="0" fontId="14" fillId="2" borderId="1" xfId="0" applyFont="1" applyFill="1" applyBorder="1" applyAlignment="1">
      <alignment horizontal="center" shrinkToFit="1"/>
    </xf>
    <xf numFmtId="0" fontId="14" fillId="2" borderId="4" xfId="0" applyFont="1" applyFill="1" applyBorder="1" applyAlignment="1">
      <alignment horizontal="center" shrinkToFit="1"/>
    </xf>
    <xf numFmtId="0" fontId="0" fillId="0" borderId="0" xfId="0" applyFill="1" applyBorder="1" applyAlignment="1">
      <alignment horizontal="center" shrinkToFit="1"/>
    </xf>
    <xf numFmtId="0" fontId="14" fillId="2" borderId="2" xfId="0" applyFont="1" applyFill="1" applyBorder="1" applyAlignment="1">
      <alignment horizontal="center" shrinkToFit="1"/>
    </xf>
    <xf numFmtId="0" fontId="0" fillId="2" borderId="2" xfId="0" applyFill="1" applyBorder="1" applyAlignment="1">
      <alignment horizontal="center" vertical="center" shrinkToFit="1"/>
    </xf>
    <xf numFmtId="0" fontId="0" fillId="2" borderId="1"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1" xfId="0" applyFill="1" applyBorder="1" applyAlignment="1">
      <alignment horizontal="center" textRotation="255" shrinkToFit="1"/>
    </xf>
    <xf numFmtId="0" fontId="0" fillId="2" borderId="4" xfId="0" applyFill="1" applyBorder="1" applyAlignment="1">
      <alignment horizontal="center" textRotation="255" shrinkToFit="1"/>
    </xf>
    <xf numFmtId="0" fontId="10" fillId="0" borderId="2" xfId="0" applyFont="1" applyFill="1" applyBorder="1" applyAlignment="1">
      <alignment horizontal="center" vertical="center" wrapText="1"/>
    </xf>
    <xf numFmtId="49" fontId="10" fillId="0" borderId="10"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85" fillId="17" borderId="10" xfId="0" applyFont="1" applyFill="1" applyBorder="1" applyAlignment="1">
      <alignment horizontal="center" vertical="center"/>
    </xf>
    <xf numFmtId="0" fontId="85" fillId="17" borderId="11" xfId="0" applyFont="1" applyFill="1" applyBorder="1" applyAlignment="1">
      <alignment horizontal="center" vertical="center"/>
    </xf>
    <xf numFmtId="0" fontId="85" fillId="17" borderId="12" xfId="0" applyFont="1" applyFill="1" applyBorder="1" applyAlignment="1">
      <alignment horizontal="center" vertical="center"/>
    </xf>
    <xf numFmtId="49" fontId="4" fillId="0" borderId="0" xfId="0" applyNumberFormat="1" applyFont="1" applyFill="1" applyAlignment="1">
      <alignment horizontal="center" vertical="top" wrapText="1"/>
    </xf>
    <xf numFmtId="49" fontId="4" fillId="0" borderId="0" xfId="0" applyNumberFormat="1" applyFont="1" applyFill="1" applyAlignment="1">
      <alignment horizontal="center" vertical="top"/>
    </xf>
    <xf numFmtId="0" fontId="5" fillId="0" borderId="0" xfId="0" applyFont="1" applyFill="1" applyAlignment="1">
      <alignment horizontal="center" vertical="top"/>
    </xf>
    <xf numFmtId="0" fontId="3" fillId="0" borderId="10" xfId="0" applyNumberFormat="1" applyFont="1" applyFill="1" applyBorder="1" applyAlignment="1">
      <alignment horizontal="center"/>
    </xf>
    <xf numFmtId="0" fontId="3" fillId="0" borderId="11" xfId="0" applyNumberFormat="1" applyFont="1" applyFill="1" applyBorder="1" applyAlignment="1">
      <alignment horizontal="center"/>
    </xf>
    <xf numFmtId="0" fontId="9" fillId="17" borderId="2" xfId="0" applyNumberFormat="1" applyFont="1" applyFill="1" applyBorder="1" applyAlignment="1">
      <alignment horizontal="center" vertical="center" wrapText="1"/>
    </xf>
    <xf numFmtId="49" fontId="9" fillId="17" borderId="2" xfId="0" applyNumberFormat="1" applyFont="1" applyFill="1" applyBorder="1" applyAlignment="1">
      <alignment horizontal="center" vertical="center" wrapText="1"/>
    </xf>
    <xf numFmtId="14" fontId="9" fillId="17" borderId="2" xfId="0" applyNumberFormat="1" applyFont="1" applyFill="1" applyBorder="1" applyAlignment="1">
      <alignment horizontal="center" vertical="center" wrapText="1"/>
    </xf>
    <xf numFmtId="14" fontId="9" fillId="17" borderId="1" xfId="0" applyNumberFormat="1" applyFont="1" applyFill="1" applyBorder="1" applyAlignment="1">
      <alignment horizontal="center" vertical="center" wrapText="1"/>
    </xf>
    <xf numFmtId="14" fontId="9" fillId="17" borderId="4" xfId="0" applyNumberFormat="1" applyFont="1" applyFill="1" applyBorder="1" applyAlignment="1">
      <alignment horizontal="center" vertical="center" wrapText="1"/>
    </xf>
    <xf numFmtId="49" fontId="9" fillId="17" borderId="1" xfId="0" applyNumberFormat="1" applyFont="1" applyFill="1" applyBorder="1" applyAlignment="1">
      <alignment horizontal="center" vertical="center" wrapText="1"/>
    </xf>
    <xf numFmtId="49" fontId="9" fillId="17" borderId="4" xfId="0" applyNumberFormat="1" applyFont="1" applyFill="1" applyBorder="1" applyAlignment="1">
      <alignment horizontal="center" vertical="center" wrapText="1"/>
    </xf>
    <xf numFmtId="0" fontId="28" fillId="4" borderId="21" xfId="0" applyFont="1" applyFill="1" applyBorder="1" applyAlignment="1">
      <alignment horizontal="center" shrinkToFit="1"/>
    </xf>
    <xf numFmtId="0" fontId="28" fillId="4" borderId="22" xfId="0" applyFont="1" applyFill="1" applyBorder="1" applyAlignment="1">
      <alignment horizontal="center" shrinkToFit="1"/>
    </xf>
    <xf numFmtId="0" fontId="28" fillId="4" borderId="23" xfId="0" applyFont="1" applyFill="1" applyBorder="1" applyAlignment="1">
      <alignment horizontal="center" shrinkToFit="1"/>
    </xf>
    <xf numFmtId="0" fontId="29" fillId="4" borderId="16"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29" fillId="4" borderId="15" xfId="0" applyFont="1" applyFill="1" applyBorder="1" applyAlignment="1">
      <alignment horizontal="center" vertical="center" wrapText="1"/>
    </xf>
    <xf numFmtId="0" fontId="29" fillId="4" borderId="18" xfId="0" applyFont="1" applyFill="1" applyBorder="1" applyAlignment="1">
      <alignment horizontal="center" vertical="center" wrapText="1"/>
    </xf>
    <xf numFmtId="0" fontId="29" fillId="4" borderId="24" xfId="0" applyFont="1" applyFill="1" applyBorder="1" applyAlignment="1">
      <alignment horizontal="center" vertical="center" wrapText="1"/>
    </xf>
    <xf numFmtId="0" fontId="29" fillId="4" borderId="13" xfId="0" applyFont="1" applyFill="1" applyBorder="1" applyAlignment="1">
      <alignment horizontal="center" vertical="center" wrapText="1"/>
    </xf>
    <xf numFmtId="0" fontId="29" fillId="4" borderId="1" xfId="0" applyNumberFormat="1" applyFont="1" applyFill="1" applyBorder="1" applyAlignment="1">
      <alignment horizontal="center" vertical="center" wrapText="1"/>
    </xf>
    <xf numFmtId="0" fontId="29" fillId="4" borderId="3" xfId="0" applyNumberFormat="1" applyFont="1" applyFill="1" applyBorder="1" applyAlignment="1">
      <alignment horizontal="center" vertical="center" wrapText="1"/>
    </xf>
    <xf numFmtId="0" fontId="29" fillId="4" borderId="4" xfId="0" applyNumberFormat="1" applyFont="1" applyFill="1" applyBorder="1" applyAlignment="1">
      <alignment horizontal="center" vertical="center" wrapText="1"/>
    </xf>
    <xf numFmtId="49" fontId="29" fillId="4" borderId="16" xfId="0" applyNumberFormat="1" applyFont="1" applyFill="1" applyBorder="1" applyAlignment="1">
      <alignment horizontal="center" vertical="center" wrapText="1"/>
    </xf>
    <xf numFmtId="49" fontId="29" fillId="4" borderId="19" xfId="0" applyNumberFormat="1" applyFont="1" applyFill="1" applyBorder="1" applyAlignment="1">
      <alignment horizontal="center" vertical="center" wrapText="1"/>
    </xf>
    <xf numFmtId="49" fontId="29" fillId="4" borderId="18" xfId="0" applyNumberFormat="1" applyFont="1" applyFill="1" applyBorder="1" applyAlignment="1">
      <alignment horizontal="center" vertical="center" wrapText="1"/>
    </xf>
    <xf numFmtId="49" fontId="29" fillId="4" borderId="1" xfId="0" applyNumberFormat="1" applyFont="1" applyFill="1" applyBorder="1" applyAlignment="1">
      <alignment horizontal="center" vertical="center" wrapText="1"/>
    </xf>
    <xf numFmtId="49" fontId="29" fillId="4" borderId="3" xfId="0" applyNumberFormat="1" applyFont="1" applyFill="1" applyBorder="1" applyAlignment="1">
      <alignment horizontal="center" vertical="center" wrapText="1"/>
    </xf>
    <xf numFmtId="49" fontId="29" fillId="4" borderId="4" xfId="0" applyNumberFormat="1" applyFont="1" applyFill="1" applyBorder="1" applyAlignment="1">
      <alignment horizontal="center" vertical="center" wrapText="1"/>
    </xf>
    <xf numFmtId="14" fontId="29" fillId="4" borderId="1" xfId="0" applyNumberFormat="1" applyFont="1" applyFill="1" applyBorder="1" applyAlignment="1">
      <alignment horizontal="center" vertical="center" wrapText="1"/>
    </xf>
    <xf numFmtId="14" fontId="29" fillId="4" borderId="3" xfId="0" applyNumberFormat="1" applyFont="1" applyFill="1" applyBorder="1" applyAlignment="1">
      <alignment horizontal="center" vertical="center" wrapText="1"/>
    </xf>
    <xf numFmtId="14" fontId="29" fillId="4" borderId="4" xfId="0" applyNumberFormat="1" applyFont="1" applyFill="1" applyBorder="1" applyAlignment="1">
      <alignment horizontal="center" vertical="center" wrapText="1"/>
    </xf>
    <xf numFmtId="0" fontId="29" fillId="4" borderId="1" xfId="0" applyFont="1" applyFill="1" applyBorder="1" applyAlignment="1">
      <alignment horizontal="center"/>
    </xf>
    <xf numFmtId="0" fontId="29" fillId="4" borderId="3" xfId="0" applyFont="1" applyFill="1" applyBorder="1" applyAlignment="1">
      <alignment horizontal="center"/>
    </xf>
    <xf numFmtId="0" fontId="29" fillId="4" borderId="4" xfId="0" applyFont="1" applyFill="1" applyBorder="1" applyAlignment="1">
      <alignment horizontal="center"/>
    </xf>
    <xf numFmtId="0" fontId="29" fillId="4" borderId="1" xfId="0" applyFont="1" applyFill="1" applyBorder="1" applyAlignment="1">
      <alignment horizontal="center" vertical="center" wrapText="1"/>
    </xf>
    <xf numFmtId="0" fontId="29" fillId="4" borderId="4" xfId="0" applyFont="1" applyFill="1" applyBorder="1" applyAlignment="1">
      <alignment horizontal="center" vertical="center" wrapText="1"/>
    </xf>
    <xf numFmtId="0" fontId="29" fillId="4" borderId="3" xfId="0" applyFont="1" applyFill="1" applyBorder="1" applyAlignment="1">
      <alignment horizontal="center" vertical="center" wrapText="1"/>
    </xf>
    <xf numFmtId="0" fontId="29" fillId="4" borderId="10" xfId="0" applyFont="1" applyFill="1" applyBorder="1" applyAlignment="1">
      <alignment horizontal="center" vertical="center"/>
    </xf>
    <xf numFmtId="0" fontId="29" fillId="4" borderId="12" xfId="0" applyFont="1" applyFill="1" applyBorder="1" applyAlignment="1">
      <alignment horizontal="center" vertical="center"/>
    </xf>
    <xf numFmtId="0" fontId="54" fillId="0" borderId="1" xfId="0" applyFont="1" applyBorder="1" applyAlignment="1" applyProtection="1">
      <alignment horizontal="center" vertical="center" wrapText="1"/>
      <protection locked="0"/>
    </xf>
    <xf numFmtId="0" fontId="54" fillId="0" borderId="3" xfId="0" applyFont="1" applyBorder="1" applyAlignment="1" applyProtection="1">
      <alignment horizontal="center" vertical="center" wrapText="1"/>
      <protection locked="0"/>
    </xf>
    <xf numFmtId="0" fontId="54" fillId="0" borderId="4" xfId="0" applyFont="1" applyBorder="1" applyAlignment="1" applyProtection="1">
      <alignment horizontal="center" vertical="center" wrapText="1"/>
      <protection locked="0"/>
    </xf>
    <xf numFmtId="2" fontId="64" fillId="0" borderId="1" xfId="0" applyNumberFormat="1" applyFont="1" applyBorder="1" applyAlignment="1" applyProtection="1">
      <alignment horizontal="center" vertical="center" wrapText="1"/>
      <protection locked="0"/>
    </xf>
    <xf numFmtId="2" fontId="64" fillId="0" borderId="3" xfId="0" applyNumberFormat="1" applyFont="1" applyBorder="1" applyAlignment="1" applyProtection="1">
      <alignment horizontal="center" vertical="center" wrapText="1"/>
      <protection locked="0"/>
    </xf>
    <xf numFmtId="2" fontId="64" fillId="0" borderId="4" xfId="0" applyNumberFormat="1" applyFont="1" applyBorder="1" applyAlignment="1" applyProtection="1">
      <alignment horizontal="center" vertical="center" wrapText="1"/>
      <protection locked="0"/>
    </xf>
    <xf numFmtId="0" fontId="55" fillId="0" borderId="0" xfId="0" applyFont="1" applyAlignment="1" applyProtection="1">
      <alignment horizontal="center"/>
      <protection locked="0"/>
    </xf>
    <xf numFmtId="0" fontId="56" fillId="0" borderId="0" xfId="0" applyFont="1" applyAlignment="1" applyProtection="1">
      <alignment horizontal="center" vertical="center"/>
      <protection locked="0"/>
    </xf>
    <xf numFmtId="0" fontId="57" fillId="0" borderId="0" xfId="0" applyFont="1" applyAlignment="1" applyProtection="1">
      <alignment horizontal="center"/>
      <protection locked="0"/>
    </xf>
    <xf numFmtId="0" fontId="55" fillId="0" borderId="24" xfId="0" applyFont="1" applyBorder="1" applyAlignment="1" applyProtection="1">
      <alignment horizontal="center"/>
      <protection locked="0"/>
    </xf>
    <xf numFmtId="0" fontId="54" fillId="0" borderId="1" xfId="0" applyFont="1" applyBorder="1" applyAlignment="1" applyProtection="1">
      <alignment horizontal="center"/>
      <protection locked="0"/>
    </xf>
    <xf numFmtId="0" fontId="54" fillId="0" borderId="4" xfId="0" applyFont="1" applyBorder="1" applyAlignment="1" applyProtection="1">
      <alignment horizontal="center"/>
      <protection locked="0"/>
    </xf>
    <xf numFmtId="0" fontId="55" fillId="0" borderId="10" xfId="0" applyFont="1" applyBorder="1" applyAlignment="1" applyProtection="1">
      <alignment horizontal="center"/>
      <protection locked="0"/>
    </xf>
    <xf numFmtId="0" fontId="55" fillId="0" borderId="11" xfId="0" applyFont="1" applyBorder="1" applyAlignment="1" applyProtection="1">
      <alignment horizontal="center"/>
      <protection locked="0"/>
    </xf>
    <xf numFmtId="0" fontId="55" fillId="0" borderId="12" xfId="0" applyFont="1" applyBorder="1" applyAlignment="1" applyProtection="1">
      <alignment horizontal="center"/>
      <protection locked="0"/>
    </xf>
    <xf numFmtId="2" fontId="64" fillId="0" borderId="1" xfId="0" applyNumberFormat="1" applyFont="1" applyBorder="1" applyAlignment="1">
      <alignment horizontal="center"/>
    </xf>
    <xf numFmtId="2" fontId="64" fillId="0" borderId="4" xfId="0" applyNumberFormat="1" applyFont="1" applyBorder="1" applyAlignment="1">
      <alignment horizontal="center"/>
    </xf>
    <xf numFmtId="0" fontId="54" fillId="0" borderId="1" xfId="0" applyFont="1" applyBorder="1" applyAlignment="1">
      <alignment horizontal="center"/>
    </xf>
    <xf numFmtId="0" fontId="54" fillId="0" borderId="4" xfId="0" applyFont="1" applyBorder="1" applyAlignment="1">
      <alignment horizontal="center"/>
    </xf>
    <xf numFmtId="1" fontId="54" fillId="0" borderId="1" xfId="0" applyNumberFormat="1" applyFont="1" applyBorder="1" applyAlignment="1">
      <alignment horizontal="center"/>
    </xf>
    <xf numFmtId="1" fontId="54" fillId="0" borderId="4" xfId="0" applyNumberFormat="1" applyFont="1" applyBorder="1" applyAlignment="1">
      <alignment horizontal="center"/>
    </xf>
    <xf numFmtId="0" fontId="54" fillId="0" borderId="1" xfId="0" quotePrefix="1" applyFont="1" applyBorder="1" applyAlignment="1">
      <alignment horizontal="center"/>
    </xf>
    <xf numFmtId="0" fontId="55" fillId="15" borderId="11" xfId="0" applyFont="1" applyFill="1" applyBorder="1" applyAlignment="1" applyProtection="1">
      <alignment horizontal="center" vertical="center"/>
      <protection locked="0"/>
    </xf>
    <xf numFmtId="0" fontId="65" fillId="0" borderId="0" xfId="0" applyFont="1" applyAlignment="1" applyProtection="1">
      <alignment horizontal="center"/>
      <protection locked="0"/>
    </xf>
    <xf numFmtId="0" fontId="64" fillId="0" borderId="1" xfId="0" applyFont="1" applyBorder="1" applyAlignment="1" applyProtection="1">
      <alignment horizontal="center" vertical="center" wrapText="1"/>
      <protection locked="0"/>
    </xf>
    <xf numFmtId="0" fontId="64" fillId="0" borderId="3" xfId="0" applyFont="1" applyBorder="1" applyAlignment="1" applyProtection="1">
      <alignment horizontal="center" vertical="center" wrapText="1"/>
      <protection locked="0"/>
    </xf>
    <xf numFmtId="0" fontId="64" fillId="0" borderId="4" xfId="0" applyFont="1" applyBorder="1" applyAlignment="1" applyProtection="1">
      <alignment horizontal="center" vertical="center" wrapText="1"/>
      <protection locked="0"/>
    </xf>
    <xf numFmtId="0" fontId="43" fillId="0" borderId="19" xfId="0" applyFont="1" applyFill="1" applyBorder="1" applyAlignment="1">
      <alignment horizontal="left" shrinkToFit="1"/>
    </xf>
    <xf numFmtId="0" fontId="43" fillId="0" borderId="0" xfId="0" applyFont="1" applyFill="1" applyBorder="1" applyAlignment="1">
      <alignment horizontal="left" shrinkToFit="1"/>
    </xf>
    <xf numFmtId="0" fontId="0" fillId="0" borderId="19" xfId="0" applyFill="1" applyBorder="1" applyAlignment="1">
      <alignment horizontal="left" shrinkToFit="1"/>
    </xf>
    <xf numFmtId="0" fontId="0" fillId="0" borderId="0" xfId="0" applyFill="1" applyBorder="1" applyAlignment="1">
      <alignment horizontal="left" shrinkToFit="1"/>
    </xf>
    <xf numFmtId="0" fontId="28" fillId="2" borderId="1" xfId="0" applyNumberFormat="1" applyFont="1" applyFill="1" applyBorder="1" applyAlignment="1">
      <alignment horizontal="center" vertical="center" shrinkToFit="1"/>
    </xf>
    <xf numFmtId="0" fontId="28" fillId="2" borderId="4" xfId="0" applyNumberFormat="1" applyFont="1" applyFill="1" applyBorder="1" applyAlignment="1">
      <alignment horizontal="center" vertical="center" shrinkToFit="1"/>
    </xf>
    <xf numFmtId="49" fontId="28" fillId="2" borderId="16" xfId="0" applyNumberFormat="1" applyFont="1" applyFill="1" applyBorder="1" applyAlignment="1">
      <alignment horizontal="center" vertical="center" shrinkToFit="1"/>
    </xf>
    <xf numFmtId="49" fontId="28" fillId="2" borderId="18" xfId="0" applyNumberFormat="1" applyFont="1" applyFill="1" applyBorder="1" applyAlignment="1">
      <alignment horizontal="center" vertical="center" shrinkToFit="1"/>
    </xf>
    <xf numFmtId="49" fontId="28" fillId="2" borderId="1" xfId="0" applyNumberFormat="1" applyFont="1" applyFill="1" applyBorder="1" applyAlignment="1">
      <alignment horizontal="center" vertical="center" shrinkToFit="1"/>
    </xf>
    <xf numFmtId="49" fontId="28" fillId="2" borderId="4" xfId="0" applyNumberFormat="1" applyFont="1" applyFill="1" applyBorder="1" applyAlignment="1">
      <alignment horizontal="center" vertical="center" shrinkToFit="1"/>
    </xf>
    <xf numFmtId="0" fontId="28" fillId="2" borderId="16" xfId="0" applyFont="1" applyFill="1" applyBorder="1" applyAlignment="1">
      <alignment horizontal="center" vertical="center" wrapText="1" shrinkToFit="1"/>
    </xf>
    <xf numFmtId="0" fontId="28" fillId="2" borderId="18" xfId="0" applyFont="1" applyFill="1" applyBorder="1" applyAlignment="1">
      <alignment horizontal="center" vertical="center" wrapText="1" shrinkToFit="1"/>
    </xf>
    <xf numFmtId="0" fontId="28" fillId="2" borderId="1" xfId="0" applyFont="1" applyFill="1" applyBorder="1" applyAlignment="1">
      <alignment horizontal="center" vertical="center" wrapText="1" shrinkToFit="1"/>
    </xf>
    <xf numFmtId="0" fontId="28" fillId="2" borderId="4" xfId="0" applyFont="1" applyFill="1" applyBorder="1" applyAlignment="1">
      <alignment horizontal="center" vertical="center" wrapText="1" shrinkToFit="1"/>
    </xf>
    <xf numFmtId="0" fontId="45" fillId="2" borderId="10" xfId="0" applyFont="1" applyFill="1" applyBorder="1" applyAlignment="1">
      <alignment horizontal="center" wrapText="1" shrinkToFit="1"/>
    </xf>
    <xf numFmtId="0" fontId="45" fillId="2" borderId="11" xfId="0" applyFont="1" applyFill="1" applyBorder="1" applyAlignment="1">
      <alignment horizontal="center" wrapText="1" shrinkToFit="1"/>
    </xf>
    <xf numFmtId="0" fontId="45" fillId="2" borderId="12" xfId="0" applyFont="1" applyFill="1" applyBorder="1" applyAlignment="1">
      <alignment horizontal="center" wrapText="1" shrinkToFit="1"/>
    </xf>
    <xf numFmtId="0" fontId="46" fillId="2" borderId="10" xfId="0" applyFont="1" applyFill="1" applyBorder="1" applyAlignment="1">
      <alignment horizontal="center" shrinkToFit="1"/>
    </xf>
    <xf numFmtId="0" fontId="46" fillId="2" borderId="11" xfId="0" applyFont="1" applyFill="1" applyBorder="1" applyAlignment="1">
      <alignment horizontal="center" shrinkToFit="1"/>
    </xf>
    <xf numFmtId="0" fontId="46" fillId="2" borderId="15" xfId="0" applyFont="1" applyFill="1" applyBorder="1" applyAlignment="1">
      <alignment horizontal="center" wrapText="1" shrinkToFit="1"/>
    </xf>
    <xf numFmtId="0" fontId="46" fillId="2" borderId="14" xfId="0" applyFont="1" applyFill="1" applyBorder="1" applyAlignment="1">
      <alignment horizontal="center" wrapText="1" shrinkToFit="1"/>
    </xf>
    <xf numFmtId="0" fontId="51" fillId="2" borderId="1" xfId="0" applyFont="1" applyFill="1" applyBorder="1" applyAlignment="1">
      <alignment horizontal="center" wrapText="1" shrinkToFit="1"/>
    </xf>
    <xf numFmtId="0" fontId="51" fillId="2" borderId="4" xfId="0" applyFont="1" applyFill="1" applyBorder="1" applyAlignment="1">
      <alignment horizontal="center" wrapText="1" shrinkToFit="1"/>
    </xf>
    <xf numFmtId="0" fontId="28" fillId="2" borderId="2" xfId="0" applyFont="1" applyFill="1" applyBorder="1" applyAlignment="1">
      <alignment horizontal="center" vertical="center" wrapText="1" shrinkToFit="1"/>
    </xf>
    <xf numFmtId="0" fontId="35" fillId="0" borderId="0" xfId="0" applyFont="1" applyFill="1" applyAlignment="1">
      <alignment horizontal="center" vertical="center" wrapText="1" shrinkToFit="1"/>
    </xf>
    <xf numFmtId="0" fontId="27" fillId="2" borderId="1" xfId="0" quotePrefix="1" applyFont="1" applyFill="1" applyBorder="1" applyAlignment="1">
      <alignment horizontal="center" wrapText="1" shrinkToFit="1"/>
    </xf>
    <xf numFmtId="0" fontId="27" fillId="2" borderId="4" xfId="0" quotePrefix="1" applyFont="1" applyFill="1" applyBorder="1" applyAlignment="1">
      <alignment horizontal="center" wrapText="1" shrinkToFit="1"/>
    </xf>
    <xf numFmtId="0" fontId="51" fillId="2" borderId="1" xfId="0" applyFont="1" applyFill="1" applyBorder="1" applyAlignment="1">
      <alignment horizontal="center" vertical="center" wrapText="1" shrinkToFit="1"/>
    </xf>
    <xf numFmtId="0" fontId="51" fillId="2" borderId="4" xfId="0" applyFont="1" applyFill="1" applyBorder="1" applyAlignment="1">
      <alignment horizontal="center" vertical="center" wrapText="1" shrinkToFit="1"/>
    </xf>
    <xf numFmtId="0" fontId="27" fillId="2" borderId="10" xfId="0" quotePrefix="1" applyFont="1" applyFill="1" applyBorder="1" applyAlignment="1">
      <alignment horizontal="center" wrapText="1" shrinkToFit="1"/>
    </xf>
    <xf numFmtId="0" fontId="27" fillId="2" borderId="11" xfId="0" quotePrefix="1" applyFont="1" applyFill="1" applyBorder="1" applyAlignment="1">
      <alignment horizontal="center" wrapText="1" shrinkToFit="1"/>
    </xf>
    <xf numFmtId="0" fontId="27" fillId="2" borderId="12" xfId="0" quotePrefix="1" applyFont="1" applyFill="1" applyBorder="1" applyAlignment="1">
      <alignment horizontal="center" wrapText="1" shrinkToFit="1"/>
    </xf>
    <xf numFmtId="0" fontId="27" fillId="2" borderId="4" xfId="0" applyFont="1" applyFill="1" applyBorder="1" applyAlignment="1">
      <alignment horizontal="center" wrapText="1" shrinkToFit="1"/>
    </xf>
    <xf numFmtId="0" fontId="43" fillId="0" borderId="0" xfId="0" applyFont="1" applyAlignment="1">
      <alignment horizontal="center"/>
    </xf>
    <xf numFmtId="0" fontId="0" fillId="0" borderId="0" xfId="0" applyAlignment="1">
      <alignment horizontal="center"/>
    </xf>
    <xf numFmtId="0" fontId="59" fillId="0" borderId="0" xfId="0" applyFont="1" applyAlignment="1">
      <alignment horizontal="center"/>
    </xf>
    <xf numFmtId="0" fontId="74" fillId="0" borderId="0" xfId="0" applyFont="1" applyAlignment="1">
      <alignment horizontal="center" vertical="top" wrapText="1"/>
    </xf>
    <xf numFmtId="0" fontId="74" fillId="0" borderId="0" xfId="0" applyFont="1" applyAlignment="1">
      <alignment horizontal="center" vertical="top"/>
    </xf>
    <xf numFmtId="0" fontId="0" fillId="0" borderId="2" xfId="0" applyBorder="1" applyAlignment="1">
      <alignment horizont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19" xfId="0" applyBorder="1" applyAlignment="1">
      <alignment horizontal="center" vertical="center"/>
    </xf>
    <xf numFmtId="0" fontId="0" fillId="0" borderId="14" xfId="0" applyBorder="1" applyAlignment="1">
      <alignment horizontal="center" vertical="center"/>
    </xf>
    <xf numFmtId="0" fontId="0" fillId="0" borderId="18" xfId="0" applyBorder="1" applyAlignment="1">
      <alignment horizontal="center" vertical="center"/>
    </xf>
    <xf numFmtId="0" fontId="0" fillId="0" borderId="13" xfId="0" applyBorder="1" applyAlignment="1">
      <alignment horizontal="center" vertical="center"/>
    </xf>
    <xf numFmtId="0" fontId="43" fillId="0" borderId="10" xfId="0" applyFont="1" applyBorder="1" applyAlignment="1">
      <alignment horizontal="center"/>
    </xf>
    <xf numFmtId="0" fontId="0" fillId="0" borderId="12" xfId="0" applyBorder="1" applyAlignment="1">
      <alignment horizontal="center"/>
    </xf>
    <xf numFmtId="0" fontId="0" fillId="0" borderId="2" xfId="0" applyBorder="1" applyAlignment="1">
      <alignment horizont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3" fillId="0" borderId="1"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4" xfId="0" applyFont="1" applyBorder="1" applyAlignment="1">
      <alignment horizontal="center" vertical="center" wrapText="1"/>
    </xf>
    <xf numFmtId="0" fontId="54" fillId="0" borderId="1" xfId="0" applyFont="1" applyBorder="1" applyAlignment="1">
      <alignment horizontal="center" vertical="center"/>
    </xf>
    <xf numFmtId="0" fontId="54"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54" fillId="0" borderId="16" xfId="0" applyFont="1" applyBorder="1" applyAlignment="1">
      <alignment horizontal="center" vertical="center"/>
    </xf>
    <xf numFmtId="0" fontId="54" fillId="0" borderId="15" xfId="0" applyFont="1" applyBorder="1" applyAlignment="1">
      <alignment horizontal="center" vertical="center"/>
    </xf>
    <xf numFmtId="0" fontId="54" fillId="0" borderId="18" xfId="0" applyFont="1" applyBorder="1" applyAlignment="1">
      <alignment horizontal="center" vertical="center"/>
    </xf>
    <xf numFmtId="0" fontId="54" fillId="0" borderId="13" xfId="0" applyFont="1" applyBorder="1" applyAlignment="1">
      <alignment horizontal="center" vertical="center"/>
    </xf>
    <xf numFmtId="0" fontId="43" fillId="0" borderId="2" xfId="0" applyFont="1" applyBorder="1"/>
    <xf numFmtId="0" fontId="54" fillId="0" borderId="4" xfId="0" applyFont="1" applyBorder="1" applyAlignment="1">
      <alignment horizontal="center" vertical="center" wrapText="1"/>
    </xf>
    <xf numFmtId="0" fontId="43" fillId="0" borderId="10" xfId="0" applyFont="1" applyBorder="1" applyAlignment="1">
      <alignment horizontal="center" vertical="center" wrapText="1"/>
    </xf>
    <xf numFmtId="0" fontId="43" fillId="0" borderId="12" xfId="0" applyFont="1" applyBorder="1" applyAlignment="1">
      <alignment horizontal="center" vertical="center" wrapText="1"/>
    </xf>
    <xf numFmtId="0" fontId="76" fillId="0" borderId="2" xfId="0" applyFont="1" applyBorder="1"/>
    <xf numFmtId="0" fontId="77" fillId="0" borderId="2" xfId="0" applyFont="1" applyBorder="1"/>
    <xf numFmtId="0" fontId="0" fillId="0" borderId="1" xfId="0" applyBorder="1" applyAlignment="1">
      <alignment horizontal="center" vertical="center" wrapText="1"/>
    </xf>
    <xf numFmtId="0" fontId="63" fillId="0" borderId="0" xfId="0" applyFont="1" applyAlignment="1">
      <alignment horizontal="center"/>
    </xf>
    <xf numFmtId="0" fontId="7" fillId="0" borderId="0" xfId="0" applyFont="1" applyAlignment="1">
      <alignment horizontal="center"/>
    </xf>
    <xf numFmtId="0" fontId="66" fillId="0" borderId="0" xfId="0" applyFont="1" applyAlignment="1">
      <alignment horizontal="center"/>
    </xf>
    <xf numFmtId="0" fontId="7" fillId="0" borderId="34" xfId="0" applyFont="1" applyBorder="1" applyAlignment="1">
      <alignment horizontal="center" vertical="top" wrapText="1"/>
    </xf>
    <xf numFmtId="0" fontId="0" fillId="0" borderId="12" xfId="0" applyBorder="1"/>
    <xf numFmtId="0" fontId="7" fillId="0" borderId="36" xfId="0" applyFont="1" applyBorder="1" applyAlignment="1">
      <alignment horizontal="center" vertical="top" wrapText="1"/>
    </xf>
    <xf numFmtId="0" fontId="7" fillId="0" borderId="37" xfId="0" applyFont="1" applyBorder="1" applyAlignment="1">
      <alignment horizontal="center" vertical="top" wrapText="1"/>
    </xf>
    <xf numFmtId="0" fontId="57" fillId="0" borderId="0" xfId="0" applyFont="1" applyAlignment="1">
      <alignment horizontal="center"/>
    </xf>
    <xf numFmtId="0" fontId="7" fillId="0" borderId="29" xfId="0" applyFont="1" applyBorder="1" applyAlignment="1">
      <alignment horizontal="center" vertical="top" wrapText="1"/>
    </xf>
    <xf numFmtId="0" fontId="7" fillId="0" borderId="30" xfId="0" applyFont="1" applyBorder="1" applyAlignment="1">
      <alignment horizontal="center" vertical="top" wrapText="1"/>
    </xf>
    <xf numFmtId="0" fontId="63" fillId="0" borderId="31" xfId="0" applyFont="1" applyBorder="1" applyAlignment="1">
      <alignment horizontal="right" vertical="top" wrapText="1"/>
    </xf>
    <xf numFmtId="0" fontId="63" fillId="0" borderId="32" xfId="0" applyFont="1" applyBorder="1" applyAlignment="1">
      <alignment horizontal="right" vertical="top" wrapText="1"/>
    </xf>
  </cellXfs>
  <cellStyles count="1">
    <cellStyle name="Normal" xfId="0" builtinId="0"/>
  </cellStyles>
  <dxfs count="62">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dxf>
    <dxf>
      <font>
        <color rgb="FFC00000"/>
      </font>
      <fill>
        <patternFill>
          <bgColor rgb="FFFFC7CE"/>
        </patternFill>
      </fill>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fill>
        <patternFill>
          <bgColor rgb="FFFFC7CE"/>
        </patternFill>
      </fill>
    </dxf>
    <dxf>
      <font>
        <color rgb="FFC00000"/>
      </font>
      <fill>
        <patternFill>
          <bgColor rgb="FFFFC7CE"/>
        </patternFill>
      </fill>
    </dxf>
    <dxf>
      <font>
        <color rgb="FFC00000"/>
      </font>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dxf>
    <dxf>
      <font>
        <color rgb="FFC00000"/>
      </font>
      <fill>
        <patternFill>
          <bgColor rgb="FFFFC7CE"/>
        </patternFill>
      </fill>
    </dxf>
    <dxf>
      <font>
        <color rgb="FFC00000"/>
      </font>
    </dxf>
    <dxf>
      <font>
        <color rgb="FFC00000"/>
      </font>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dxf>
    <dxf>
      <font>
        <color rgb="FFC00000"/>
      </font>
    </dxf>
    <dxf>
      <font>
        <color rgb="FFC00000"/>
      </font>
      <fill>
        <patternFill>
          <bgColor rgb="FFFFC7CE"/>
        </patternFill>
      </fill>
    </dxf>
    <dxf>
      <font>
        <color rgb="FFC00000"/>
      </font>
    </dxf>
    <dxf>
      <font>
        <color rgb="FFC00000"/>
      </font>
      <fill>
        <patternFill>
          <bgColor rgb="FFFFC7CE"/>
        </patternFill>
      </fill>
    </dxf>
  </dxfs>
  <tableStyles count="0" defaultTableStyle="TableStyleMedium2" defaultPivotStyle="PivotStyleLight16"/>
  <colors>
    <mruColors>
      <color rgb="FFFF66FF"/>
      <color rgb="FFFFFF71"/>
      <color rgb="FF0000FF"/>
      <color rgb="FF0000CC"/>
      <color rgb="FFFF3399"/>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838200</xdr:colOff>
      <xdr:row>2</xdr:row>
      <xdr:rowOff>9525</xdr:rowOff>
    </xdr:from>
    <xdr:to>
      <xdr:col>1</xdr:col>
      <xdr:colOff>1828800</xdr:colOff>
      <xdr:row>2</xdr:row>
      <xdr:rowOff>9525</xdr:rowOff>
    </xdr:to>
    <xdr:cxnSp macro="">
      <xdr:nvCxnSpPr>
        <xdr:cNvPr id="2" name="Straight Connector 1">
          <a:extLst>
            <a:ext uri="{FF2B5EF4-FFF2-40B4-BE49-F238E27FC236}">
              <a16:creationId xmlns="" xmlns:a16="http://schemas.microsoft.com/office/drawing/2014/main" id="{458BF567-2F8E-451C-9F90-1D4DAFB07955}"/>
            </a:ext>
          </a:extLst>
        </xdr:cNvPr>
        <xdr:cNvCxnSpPr>
          <a:cxnSpLocks noChangeShapeType="1"/>
        </xdr:cNvCxnSpPr>
      </xdr:nvCxnSpPr>
      <xdr:spPr bwMode="auto">
        <a:xfrm>
          <a:off x="1143000" y="409575"/>
          <a:ext cx="9906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19050</xdr:colOff>
      <xdr:row>2</xdr:row>
      <xdr:rowOff>6350</xdr:rowOff>
    </xdr:from>
    <xdr:to>
      <xdr:col>8</xdr:col>
      <xdr:colOff>571500</xdr:colOff>
      <xdr:row>2</xdr:row>
      <xdr:rowOff>6350</xdr:rowOff>
    </xdr:to>
    <xdr:cxnSp macro="">
      <xdr:nvCxnSpPr>
        <xdr:cNvPr id="3" name="Straight Connector 2">
          <a:extLst>
            <a:ext uri="{FF2B5EF4-FFF2-40B4-BE49-F238E27FC236}">
              <a16:creationId xmlns="" xmlns:a16="http://schemas.microsoft.com/office/drawing/2014/main" id="{E555CE9D-BC38-42B7-BFA9-49EFC534E74C}"/>
            </a:ext>
          </a:extLst>
        </xdr:cNvPr>
        <xdr:cNvCxnSpPr/>
      </xdr:nvCxnSpPr>
      <xdr:spPr>
        <a:xfrm>
          <a:off x="4391025" y="434975"/>
          <a:ext cx="1704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2</xdr:row>
      <xdr:rowOff>66675</xdr:rowOff>
    </xdr:from>
    <xdr:to>
      <xdr:col>2</xdr:col>
      <xdr:colOff>914400</xdr:colOff>
      <xdr:row>2</xdr:row>
      <xdr:rowOff>66675</xdr:rowOff>
    </xdr:to>
    <xdr:cxnSp macro="">
      <xdr:nvCxnSpPr>
        <xdr:cNvPr id="2" name="Straight Connector 1">
          <a:extLst>
            <a:ext uri="{FF2B5EF4-FFF2-40B4-BE49-F238E27FC236}">
              <a16:creationId xmlns="" xmlns:a16="http://schemas.microsoft.com/office/drawing/2014/main" id="{5BF58416-47D5-4E99-ACFE-AE987FE7A4A8}"/>
            </a:ext>
          </a:extLst>
        </xdr:cNvPr>
        <xdr:cNvCxnSpPr/>
      </xdr:nvCxnSpPr>
      <xdr:spPr>
        <a:xfrm>
          <a:off x="561975" y="447675"/>
          <a:ext cx="1619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285750</xdr:colOff>
      <xdr:row>2</xdr:row>
      <xdr:rowOff>3175</xdr:rowOff>
    </xdr:from>
    <xdr:to>
      <xdr:col>11</xdr:col>
      <xdr:colOff>241300</xdr:colOff>
      <xdr:row>2</xdr:row>
      <xdr:rowOff>3175</xdr:rowOff>
    </xdr:to>
    <xdr:cxnSp macro="">
      <xdr:nvCxnSpPr>
        <xdr:cNvPr id="3" name="Straight Connector 2">
          <a:extLst>
            <a:ext uri="{FF2B5EF4-FFF2-40B4-BE49-F238E27FC236}">
              <a16:creationId xmlns="" xmlns:a16="http://schemas.microsoft.com/office/drawing/2014/main" id="{EDF8A694-83B1-47BF-8527-0C637F2B6036}"/>
            </a:ext>
          </a:extLst>
        </xdr:cNvPr>
        <xdr:cNvCxnSpPr/>
      </xdr:nvCxnSpPr>
      <xdr:spPr>
        <a:xfrm>
          <a:off x="4533900" y="384175"/>
          <a:ext cx="15176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114300</xdr:colOff>
      <xdr:row>2</xdr:row>
      <xdr:rowOff>19050</xdr:rowOff>
    </xdr:from>
    <xdr:to>
      <xdr:col>10</xdr:col>
      <xdr:colOff>371475</xdr:colOff>
      <xdr:row>2</xdr:row>
      <xdr:rowOff>19050</xdr:rowOff>
    </xdr:to>
    <xdr:sp macro="" textlink="">
      <xdr:nvSpPr>
        <xdr:cNvPr id="2" name="Line 2">
          <a:extLst>
            <a:ext uri="{FF2B5EF4-FFF2-40B4-BE49-F238E27FC236}">
              <a16:creationId xmlns="" xmlns:a16="http://schemas.microsoft.com/office/drawing/2014/main" id="{75862A5C-7741-4400-ABC0-128F30F8E5E7}"/>
            </a:ext>
          </a:extLst>
        </xdr:cNvPr>
        <xdr:cNvSpPr>
          <a:spLocks noChangeShapeType="1"/>
        </xdr:cNvSpPr>
      </xdr:nvSpPr>
      <xdr:spPr bwMode="auto">
        <a:xfrm>
          <a:off x="4048125" y="419100"/>
          <a:ext cx="1628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1085850</xdr:colOff>
      <xdr:row>2</xdr:row>
      <xdr:rowOff>19050</xdr:rowOff>
    </xdr:from>
    <xdr:to>
      <xdr:col>1</xdr:col>
      <xdr:colOff>352425</xdr:colOff>
      <xdr:row>2</xdr:row>
      <xdr:rowOff>19050</xdr:rowOff>
    </xdr:to>
    <xdr:sp macro="" textlink="">
      <xdr:nvSpPr>
        <xdr:cNvPr id="3" name="Line 1">
          <a:extLst>
            <a:ext uri="{FF2B5EF4-FFF2-40B4-BE49-F238E27FC236}">
              <a16:creationId xmlns="" xmlns:a16="http://schemas.microsoft.com/office/drawing/2014/main" id="{A6B36848-D5B0-4BF6-8CF1-9108A1AA4170}"/>
            </a:ext>
          </a:extLst>
        </xdr:cNvPr>
        <xdr:cNvSpPr>
          <a:spLocks noChangeShapeType="1"/>
        </xdr:cNvSpPr>
      </xdr:nvSpPr>
      <xdr:spPr bwMode="auto">
        <a:xfrm>
          <a:off x="1085850" y="419100"/>
          <a:ext cx="457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09"/>
  <sheetViews>
    <sheetView showZeros="0" tabSelected="1" zoomScaleNormal="100" workbookViewId="0">
      <pane xSplit="6" ySplit="7" topLeftCell="AD43" activePane="bottomRight" state="frozen"/>
      <selection activeCell="F29" sqref="F29"/>
      <selection pane="topRight" activeCell="F29" sqref="F29"/>
      <selection pane="bottomLeft" activeCell="F29" sqref="F29"/>
      <selection pane="bottomRight" activeCell="AP80" sqref="AP80"/>
    </sheetView>
  </sheetViews>
  <sheetFormatPr defaultColWidth="8.7109375" defaultRowHeight="15" x14ac:dyDescent="0.25"/>
  <cols>
    <col min="1" max="1" width="1.7109375" style="115" customWidth="1"/>
    <col min="2" max="2" width="2.85546875" style="115" customWidth="1"/>
    <col min="3" max="3" width="2.28515625" style="115" customWidth="1"/>
    <col min="4" max="4" width="4.7109375" style="115" customWidth="1"/>
    <col min="5" max="5" width="9.85546875" style="115" customWidth="1"/>
    <col min="6" max="6" width="16.140625" style="115" customWidth="1"/>
    <col min="7" max="7" width="2.5703125" style="115" customWidth="1"/>
    <col min="8" max="9" width="7.5703125" style="115" customWidth="1"/>
    <col min="10" max="11" width="4.140625" style="115" hidden="1" customWidth="1"/>
    <col min="12" max="12" width="5.7109375" style="115" customWidth="1"/>
    <col min="13" max="13" width="7.5703125" style="115" customWidth="1"/>
    <col min="14" max="14" width="6.140625" style="115" customWidth="1"/>
    <col min="15" max="15" width="6.5703125" style="115" customWidth="1"/>
    <col min="16" max="18" width="11.5703125" style="115" customWidth="1"/>
    <col min="19" max="19" width="8.7109375" style="115" customWidth="1"/>
    <col min="20" max="21" width="13.85546875" style="115" customWidth="1"/>
    <col min="22" max="22" width="11.85546875" style="115" customWidth="1"/>
    <col min="23" max="23" width="6.42578125" style="115" hidden="1" customWidth="1"/>
    <col min="24" max="24" width="6.140625" style="115" hidden="1" customWidth="1"/>
    <col min="25" max="25" width="6.7109375" style="115" hidden="1" customWidth="1"/>
    <col min="26" max="26" width="7.5703125" style="115" customWidth="1"/>
    <col min="27" max="27" width="6.28515625" style="115" customWidth="1"/>
    <col min="28" max="28" width="7" style="115" customWidth="1"/>
    <col min="29" max="29" width="10.42578125" style="115" customWidth="1"/>
    <col min="30" max="30" width="7.140625" style="115" customWidth="1"/>
    <col min="31" max="31" width="10.85546875" style="115" customWidth="1"/>
    <col min="32" max="33" width="9.140625" style="115" customWidth="1"/>
    <col min="34" max="34" width="8.42578125" style="115" customWidth="1"/>
    <col min="35" max="35" width="9.28515625" style="115" customWidth="1"/>
    <col min="36" max="36" width="8" style="115" customWidth="1"/>
    <col min="37" max="37" width="7.7109375" style="116" customWidth="1"/>
    <col min="38" max="38" width="7.28515625" style="116" customWidth="1"/>
    <col min="39" max="39" width="7.5703125" style="116" customWidth="1"/>
    <col min="40" max="42" width="7.28515625" style="116" customWidth="1"/>
    <col min="43" max="43" width="4.140625" style="116" hidden="1" customWidth="1"/>
    <col min="44" max="44" width="6" style="115" customWidth="1"/>
    <col min="45" max="45" width="7.28515625" style="115" customWidth="1"/>
    <col min="46" max="46" width="8.7109375" style="115"/>
    <col min="47" max="47" width="2.28515625" style="115" customWidth="1"/>
    <col min="48" max="16384" width="8.7109375" style="115"/>
  </cols>
  <sheetData>
    <row r="1" spans="1:49" ht="20.25" x14ac:dyDescent="0.3">
      <c r="F1" s="662">
        <f ca="1">NOW()</f>
        <v>43990.388564120367</v>
      </c>
      <c r="H1" s="664" t="str">
        <f ca="1">"tháng "&amp;MONTH(F1)</f>
        <v>tháng 6</v>
      </c>
      <c r="I1" s="664" t="str">
        <f ca="1">"năm "&amp;YEAR(F1)</f>
        <v>năm 2020</v>
      </c>
    </row>
    <row r="3" spans="1:49" ht="13.5" customHeight="1" x14ac:dyDescent="0.25">
      <c r="A3" s="218"/>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3"/>
    </row>
    <row r="4" spans="1:49" ht="11.25" customHeight="1" x14ac:dyDescent="0.25">
      <c r="A4" s="220"/>
      <c r="B4" s="714" t="s">
        <v>0</v>
      </c>
      <c r="C4" s="725"/>
      <c r="D4" s="715" t="s">
        <v>1</v>
      </c>
      <c r="E4" s="719" t="s">
        <v>580</v>
      </c>
      <c r="F4" s="716" t="s">
        <v>2</v>
      </c>
      <c r="G4" s="722" t="s">
        <v>3</v>
      </c>
      <c r="H4" s="715" t="s">
        <v>42</v>
      </c>
      <c r="I4" s="715"/>
      <c r="J4" s="728" t="s">
        <v>5</v>
      </c>
      <c r="K4" s="729"/>
      <c r="L4" s="715" t="s">
        <v>4</v>
      </c>
      <c r="M4" s="732" t="s">
        <v>574</v>
      </c>
      <c r="N4" s="718" t="s">
        <v>6</v>
      </c>
      <c r="O4" s="718" t="s">
        <v>7</v>
      </c>
      <c r="P4" s="718" t="s">
        <v>8</v>
      </c>
      <c r="Q4" s="718" t="s">
        <v>9</v>
      </c>
      <c r="R4" s="718" t="s">
        <v>10</v>
      </c>
      <c r="S4" s="707" t="s">
        <v>54</v>
      </c>
      <c r="T4" s="708"/>
      <c r="U4" s="708"/>
      <c r="V4" s="708"/>
      <c r="W4" s="708"/>
      <c r="X4" s="708"/>
      <c r="Y4" s="708"/>
      <c r="Z4" s="708"/>
      <c r="AA4" s="708"/>
      <c r="AB4" s="708"/>
      <c r="AC4" s="708"/>
      <c r="AD4" s="708"/>
      <c r="AE4" s="708"/>
      <c r="AF4" s="709"/>
      <c r="AG4" s="740" t="s">
        <v>965</v>
      </c>
      <c r="AH4" s="745" t="s">
        <v>130</v>
      </c>
      <c r="AI4" s="725" t="s">
        <v>349</v>
      </c>
      <c r="AJ4" s="714" t="s">
        <v>17</v>
      </c>
      <c r="AK4" s="714"/>
      <c r="AL4" s="707" t="s">
        <v>11</v>
      </c>
      <c r="AM4" s="708"/>
      <c r="AN4" s="708"/>
      <c r="AO4" s="708"/>
      <c r="AP4" s="708"/>
      <c r="AQ4" s="708"/>
      <c r="AR4" s="708"/>
      <c r="AS4" s="709"/>
      <c r="AT4" s="718" t="s">
        <v>19</v>
      </c>
      <c r="AU4" s="211"/>
    </row>
    <row r="5" spans="1:49" ht="18" customHeight="1" x14ac:dyDescent="0.25">
      <c r="A5" s="220"/>
      <c r="B5" s="714"/>
      <c r="C5" s="726"/>
      <c r="D5" s="715"/>
      <c r="E5" s="720"/>
      <c r="F5" s="717"/>
      <c r="G5" s="723"/>
      <c r="H5" s="715"/>
      <c r="I5" s="715"/>
      <c r="J5" s="730"/>
      <c r="K5" s="731"/>
      <c r="L5" s="715"/>
      <c r="M5" s="732"/>
      <c r="N5" s="718"/>
      <c r="O5" s="718"/>
      <c r="P5" s="718"/>
      <c r="Q5" s="718"/>
      <c r="R5" s="718"/>
      <c r="S5" s="717" t="s">
        <v>12</v>
      </c>
      <c r="T5" s="710" t="s">
        <v>55</v>
      </c>
      <c r="U5" s="743" t="s">
        <v>56</v>
      </c>
      <c r="V5" s="743" t="s">
        <v>153</v>
      </c>
      <c r="W5" s="740" t="s">
        <v>54</v>
      </c>
      <c r="X5" s="740" t="s">
        <v>941</v>
      </c>
      <c r="Y5" s="740" t="s">
        <v>942</v>
      </c>
      <c r="Z5" s="710" t="s">
        <v>14</v>
      </c>
      <c r="AA5" s="712" t="s">
        <v>13</v>
      </c>
      <c r="AB5" s="710" t="s">
        <v>18</v>
      </c>
      <c r="AC5" s="710" t="s">
        <v>162</v>
      </c>
      <c r="AD5" s="710" t="s">
        <v>161</v>
      </c>
      <c r="AE5" s="710" t="s">
        <v>164</v>
      </c>
      <c r="AF5" s="745" t="s">
        <v>165</v>
      </c>
      <c r="AG5" s="712"/>
      <c r="AH5" s="710"/>
      <c r="AI5" s="726"/>
      <c r="AJ5" s="714" t="s">
        <v>26</v>
      </c>
      <c r="AK5" s="742" t="s">
        <v>27</v>
      </c>
      <c r="AL5" s="736" t="s">
        <v>20</v>
      </c>
      <c r="AM5" s="732" t="s">
        <v>21</v>
      </c>
      <c r="AN5" s="737" t="s">
        <v>346</v>
      </c>
      <c r="AO5" s="733" t="s">
        <v>23</v>
      </c>
      <c r="AP5" s="734"/>
      <c r="AQ5" s="735"/>
      <c r="AR5" s="738" t="s">
        <v>24</v>
      </c>
      <c r="AS5" s="739" t="s">
        <v>25</v>
      </c>
      <c r="AT5" s="718"/>
      <c r="AU5" s="212" t="s">
        <v>573</v>
      </c>
    </row>
    <row r="6" spans="1:49" ht="35.25" customHeight="1" x14ac:dyDescent="0.25">
      <c r="A6" s="220"/>
      <c r="B6" s="714"/>
      <c r="C6" s="727"/>
      <c r="D6" s="715"/>
      <c r="E6" s="721"/>
      <c r="F6" s="717"/>
      <c r="G6" s="724"/>
      <c r="H6" s="206" t="s">
        <v>53</v>
      </c>
      <c r="I6" s="206" t="s">
        <v>935</v>
      </c>
      <c r="J6" s="207" t="s">
        <v>939</v>
      </c>
      <c r="K6" s="208" t="s">
        <v>935</v>
      </c>
      <c r="L6" s="716"/>
      <c r="M6" s="732"/>
      <c r="N6" s="718"/>
      <c r="O6" s="718"/>
      <c r="P6" s="718"/>
      <c r="Q6" s="718"/>
      <c r="R6" s="718"/>
      <c r="S6" s="741"/>
      <c r="T6" s="711"/>
      <c r="U6" s="744"/>
      <c r="V6" s="744"/>
      <c r="W6" s="713"/>
      <c r="X6" s="713"/>
      <c r="Y6" s="713"/>
      <c r="Z6" s="711"/>
      <c r="AA6" s="713"/>
      <c r="AB6" s="711"/>
      <c r="AC6" s="711"/>
      <c r="AD6" s="711"/>
      <c r="AE6" s="711"/>
      <c r="AF6" s="711"/>
      <c r="AG6" s="713"/>
      <c r="AH6" s="711"/>
      <c r="AI6" s="727"/>
      <c r="AJ6" s="714"/>
      <c r="AK6" s="742"/>
      <c r="AL6" s="736"/>
      <c r="AM6" s="732"/>
      <c r="AN6" s="737"/>
      <c r="AO6" s="209" t="s">
        <v>11</v>
      </c>
      <c r="AP6" s="210" t="s">
        <v>28</v>
      </c>
      <c r="AQ6" s="210"/>
      <c r="AR6" s="738"/>
      <c r="AS6" s="739"/>
      <c r="AT6" s="718"/>
      <c r="AU6" s="212"/>
    </row>
    <row r="7" spans="1:49" ht="10.5" customHeight="1" x14ac:dyDescent="0.25">
      <c r="A7" s="220"/>
      <c r="B7" s="214" t="s">
        <v>531</v>
      </c>
      <c r="C7" s="214" t="s">
        <v>532</v>
      </c>
      <c r="D7" s="215" t="s">
        <v>347</v>
      </c>
      <c r="E7" s="215" t="s">
        <v>632</v>
      </c>
      <c r="F7" s="216" t="s">
        <v>631</v>
      </c>
      <c r="G7" s="216" t="s">
        <v>595</v>
      </c>
      <c r="H7" s="216" t="s">
        <v>596</v>
      </c>
      <c r="I7" s="216"/>
      <c r="J7" s="216" t="s">
        <v>597</v>
      </c>
      <c r="K7" s="216"/>
      <c r="L7" s="216" t="s">
        <v>598</v>
      </c>
      <c r="M7" s="216" t="s">
        <v>599</v>
      </c>
      <c r="N7" s="216" t="s">
        <v>630</v>
      </c>
      <c r="O7" s="215" t="s">
        <v>600</v>
      </c>
      <c r="P7" s="215" t="s">
        <v>601</v>
      </c>
      <c r="Q7" s="215" t="s">
        <v>602</v>
      </c>
      <c r="R7" s="215" t="s">
        <v>603</v>
      </c>
      <c r="S7" s="215" t="s">
        <v>604</v>
      </c>
      <c r="T7" s="215" t="s">
        <v>605</v>
      </c>
      <c r="U7" s="215" t="s">
        <v>606</v>
      </c>
      <c r="V7" s="215" t="s">
        <v>607</v>
      </c>
      <c r="W7" s="215" t="s">
        <v>608</v>
      </c>
      <c r="X7" s="215" t="s">
        <v>609</v>
      </c>
      <c r="Y7" s="215" t="s">
        <v>610</v>
      </c>
      <c r="Z7" s="215" t="s">
        <v>471</v>
      </c>
      <c r="AA7" s="215" t="s">
        <v>611</v>
      </c>
      <c r="AB7" s="215" t="s">
        <v>612</v>
      </c>
      <c r="AC7" s="215" t="s">
        <v>613</v>
      </c>
      <c r="AD7" s="215" t="s">
        <v>614</v>
      </c>
      <c r="AE7" s="215" t="s">
        <v>615</v>
      </c>
      <c r="AF7" s="215" t="s">
        <v>616</v>
      </c>
      <c r="AG7" s="215"/>
      <c r="AH7" s="215" t="s">
        <v>617</v>
      </c>
      <c r="AI7" s="215" t="s">
        <v>618</v>
      </c>
      <c r="AJ7" s="215" t="s">
        <v>619</v>
      </c>
      <c r="AK7" s="217" t="s">
        <v>620</v>
      </c>
      <c r="AL7" s="217" t="s">
        <v>621</v>
      </c>
      <c r="AM7" s="217" t="s">
        <v>622</v>
      </c>
      <c r="AN7" s="217" t="s">
        <v>623</v>
      </c>
      <c r="AO7" s="217" t="s">
        <v>624</v>
      </c>
      <c r="AP7" s="217" t="s">
        <v>625</v>
      </c>
      <c r="AQ7" s="217" t="s">
        <v>626</v>
      </c>
      <c r="AR7" s="215" t="s">
        <v>627</v>
      </c>
      <c r="AS7" s="215" t="s">
        <v>628</v>
      </c>
      <c r="AT7" s="215" t="s">
        <v>629</v>
      </c>
      <c r="AU7" s="212"/>
    </row>
    <row r="8" spans="1:49" s="118" customFormat="1" x14ac:dyDescent="0.25">
      <c r="A8" s="220"/>
      <c r="B8" s="119">
        <f>IF(F8&lt;&gt;0,1)</f>
        <v>1</v>
      </c>
      <c r="C8" s="120">
        <f>IF(F8="","",1)</f>
        <v>1</v>
      </c>
      <c r="D8" s="121" t="s">
        <v>355</v>
      </c>
      <c r="E8" s="119"/>
      <c r="F8" s="122" t="s">
        <v>52</v>
      </c>
      <c r="G8" s="123" t="s">
        <v>355</v>
      </c>
      <c r="H8" s="124"/>
      <c r="I8" s="124" t="s">
        <v>637</v>
      </c>
      <c r="J8" s="125">
        <f>IF(H8=0,0,YEAR(H8))</f>
        <v>0</v>
      </c>
      <c r="K8" s="125">
        <f>IF(I8=0,0,YEAR(I8))</f>
        <v>1983</v>
      </c>
      <c r="L8" s="126" t="s">
        <v>1016</v>
      </c>
      <c r="M8" s="123"/>
      <c r="N8" s="126" t="s">
        <v>342</v>
      </c>
      <c r="O8" s="127" t="s">
        <v>350</v>
      </c>
      <c r="P8" s="119" t="s">
        <v>300</v>
      </c>
      <c r="Q8" s="119" t="s">
        <v>299</v>
      </c>
      <c r="R8" s="119" t="s">
        <v>351</v>
      </c>
      <c r="S8" s="119" t="s">
        <v>184</v>
      </c>
      <c r="T8" s="119" t="s">
        <v>185</v>
      </c>
      <c r="U8" s="119" t="s">
        <v>536</v>
      </c>
      <c r="V8" s="119"/>
      <c r="W8" s="119" t="str">
        <f>IF(AND(T8&lt;&gt;"",U8="",V8=""),LEFT(T8,4),IF(AND(T8&lt;&gt;"",U8&lt;&gt;"",V8=""),LEFT(U8,4),LEFT(V8,4)))</f>
        <v>ĐHTX</v>
      </c>
      <c r="X8" s="119"/>
      <c r="Y8" s="119"/>
      <c r="Z8" s="119"/>
      <c r="AA8" s="119"/>
      <c r="AB8" s="119" t="s">
        <v>57</v>
      </c>
      <c r="AC8" s="119" t="s">
        <v>186</v>
      </c>
      <c r="AD8" s="119"/>
      <c r="AE8" s="119"/>
      <c r="AF8" s="119"/>
      <c r="AG8" s="686" t="s">
        <v>1358</v>
      </c>
      <c r="AH8" s="128" t="s">
        <v>922</v>
      </c>
      <c r="AI8" s="129">
        <v>5006000430</v>
      </c>
      <c r="AJ8" s="119">
        <v>351760595</v>
      </c>
      <c r="AK8" s="130" t="s">
        <v>584</v>
      </c>
      <c r="AL8" s="130" t="s">
        <v>767</v>
      </c>
      <c r="AM8" s="130" t="s">
        <v>806</v>
      </c>
      <c r="AN8" s="130" t="s">
        <v>841</v>
      </c>
      <c r="AO8" s="130" t="s">
        <v>585</v>
      </c>
      <c r="AP8" s="645" t="s">
        <v>1351</v>
      </c>
      <c r="AQ8" s="131">
        <f>IF(AO8="","",YEAR(AO8))</f>
        <v>2008</v>
      </c>
      <c r="AR8" s="119"/>
      <c r="AS8" s="119"/>
      <c r="AT8" s="119" t="s">
        <v>1113</v>
      </c>
      <c r="AU8" s="212"/>
      <c r="AV8" s="117"/>
      <c r="AW8" s="117"/>
    </row>
    <row r="9" spans="1:49" s="118" customFormat="1" x14ac:dyDescent="0.25">
      <c r="A9" s="220"/>
      <c r="B9" s="128">
        <f>IF(F9&lt;&gt;0,MAX($B$8:B8)+1,"")</f>
        <v>2</v>
      </c>
      <c r="C9" s="132">
        <f>IF(F9="","",MAX($C$8:C8)+1)</f>
        <v>2</v>
      </c>
      <c r="D9" s="133">
        <v>1182</v>
      </c>
      <c r="E9" s="128"/>
      <c r="F9" s="128" t="s">
        <v>62</v>
      </c>
      <c r="G9" s="134" t="s">
        <v>355</v>
      </c>
      <c r="H9" s="135"/>
      <c r="I9" s="135" t="s">
        <v>638</v>
      </c>
      <c r="J9" s="125">
        <f t="shared" ref="J9:J72" si="0">IF(H9=0,0,YEAR(H9))</f>
        <v>0</v>
      </c>
      <c r="K9" s="125">
        <f t="shared" ref="K9:K72" si="1">IF(I9=0,0,YEAR(I9))</f>
        <v>1967</v>
      </c>
      <c r="L9" s="136" t="s">
        <v>1016</v>
      </c>
      <c r="M9" s="134"/>
      <c r="N9" s="136" t="s">
        <v>342</v>
      </c>
      <c r="O9" s="136" t="s">
        <v>37</v>
      </c>
      <c r="P9" s="128" t="s">
        <v>298</v>
      </c>
      <c r="Q9" s="128" t="s">
        <v>343</v>
      </c>
      <c r="R9" s="128" t="s">
        <v>344</v>
      </c>
      <c r="S9" s="128" t="s">
        <v>273</v>
      </c>
      <c r="T9" s="128" t="s">
        <v>345</v>
      </c>
      <c r="U9" s="128" t="s">
        <v>515</v>
      </c>
      <c r="V9" s="128"/>
      <c r="W9" s="128" t="str">
        <f t="shared" ref="W9:W75" si="2">IF(AND(T9&lt;&gt;"",U9="",V9=""),LEFT(T9,4),IF(AND(T9&lt;&gt;"",U9&lt;&gt;"",V9=""),LEFT(U9,4),LEFT(V9,4)))</f>
        <v>TCTC</v>
      </c>
      <c r="X9" s="128"/>
      <c r="Y9" s="128"/>
      <c r="Z9" s="128"/>
      <c r="AA9" s="128"/>
      <c r="AB9" s="128" t="s">
        <v>241</v>
      </c>
      <c r="AC9" s="128"/>
      <c r="AD9" s="128"/>
      <c r="AE9" s="128"/>
      <c r="AF9" s="128"/>
      <c r="AG9" s="687" t="s">
        <v>1359</v>
      </c>
      <c r="AH9" s="128" t="s">
        <v>157</v>
      </c>
      <c r="AI9" s="137">
        <v>5096017247</v>
      </c>
      <c r="AJ9" s="128">
        <v>350774540</v>
      </c>
      <c r="AK9" s="138" t="s">
        <v>706</v>
      </c>
      <c r="AL9" s="138" t="s">
        <v>768</v>
      </c>
      <c r="AM9" s="138" t="s">
        <v>768</v>
      </c>
      <c r="AN9" s="138" t="s">
        <v>842</v>
      </c>
      <c r="AO9" s="138" t="s">
        <v>586</v>
      </c>
      <c r="AP9" s="139" t="s">
        <v>242</v>
      </c>
      <c r="AQ9" s="139">
        <f t="shared" ref="AQ9:AQ72" si="3">IF(AO9="","",YEAR(AO9))</f>
        <v>2005</v>
      </c>
      <c r="AR9" s="128"/>
      <c r="AS9" s="128"/>
      <c r="AT9" s="128" t="s">
        <v>1114</v>
      </c>
      <c r="AU9" s="212"/>
    </row>
    <row r="10" spans="1:49" s="118" customFormat="1" x14ac:dyDescent="0.25">
      <c r="A10" s="220"/>
      <c r="B10" s="225">
        <f>IF(F10&lt;&gt;0,MAX($B$8:B9)+1,"")</f>
        <v>3</v>
      </c>
      <c r="C10" s="132">
        <f>IF(F10="","",MAX($C$8:C9)+1)</f>
        <v>3</v>
      </c>
      <c r="D10" s="133">
        <v>1239</v>
      </c>
      <c r="E10" s="128"/>
      <c r="F10" s="128" t="s">
        <v>63</v>
      </c>
      <c r="G10" s="134" t="s">
        <v>355</v>
      </c>
      <c r="H10" s="135"/>
      <c r="I10" s="135" t="s">
        <v>1107</v>
      </c>
      <c r="J10" s="125">
        <f t="shared" si="0"/>
        <v>0</v>
      </c>
      <c r="K10" s="125">
        <f t="shared" si="1"/>
        <v>1976</v>
      </c>
      <c r="L10" s="136" t="s">
        <v>1016</v>
      </c>
      <c r="M10" s="134"/>
      <c r="N10" s="136" t="s">
        <v>355</v>
      </c>
      <c r="O10" s="136" t="s">
        <v>414</v>
      </c>
      <c r="P10" s="128" t="s">
        <v>334</v>
      </c>
      <c r="Q10" s="128" t="s">
        <v>302</v>
      </c>
      <c r="R10" s="128" t="s">
        <v>1108</v>
      </c>
      <c r="S10" s="128" t="s">
        <v>182</v>
      </c>
      <c r="T10" s="128" t="s">
        <v>1110</v>
      </c>
      <c r="U10" s="128"/>
      <c r="V10" s="128"/>
      <c r="W10" s="128" t="str">
        <f t="shared" si="2"/>
        <v>TCTC</v>
      </c>
      <c r="X10" s="128"/>
      <c r="Y10" s="128"/>
      <c r="Z10" s="128"/>
      <c r="AA10" s="128"/>
      <c r="AB10" s="128"/>
      <c r="AC10" s="128"/>
      <c r="AD10" s="128"/>
      <c r="AE10" s="128"/>
      <c r="AF10" s="128"/>
      <c r="AG10" s="685" t="s">
        <v>923</v>
      </c>
      <c r="AH10" s="128" t="s">
        <v>484</v>
      </c>
      <c r="AI10" s="137">
        <v>5096017206</v>
      </c>
      <c r="AJ10" s="128">
        <v>351122256</v>
      </c>
      <c r="AK10" s="138" t="s">
        <v>707</v>
      </c>
      <c r="AL10" s="138" t="s">
        <v>769</v>
      </c>
      <c r="AM10" s="138" t="s">
        <v>769</v>
      </c>
      <c r="AN10" s="139" t="s">
        <v>1109</v>
      </c>
      <c r="AO10" s="139"/>
      <c r="AP10" s="139"/>
      <c r="AQ10" s="139" t="str">
        <f t="shared" si="3"/>
        <v/>
      </c>
      <c r="AR10" s="128"/>
      <c r="AS10" s="128"/>
      <c r="AT10" s="128" t="s">
        <v>1115</v>
      </c>
      <c r="AU10" s="212"/>
    </row>
    <row r="11" spans="1:49" s="118" customFormat="1" x14ac:dyDescent="0.25">
      <c r="A11" s="220"/>
      <c r="B11" s="128">
        <f>IF(F11&lt;&gt;0,MAX($B$8:B10)+1,"")</f>
        <v>4</v>
      </c>
      <c r="C11" s="132">
        <f>IF(F11="","",MAX($C$8:C10)+1)</f>
        <v>4</v>
      </c>
      <c r="D11" s="367">
        <v>41095</v>
      </c>
      <c r="E11" s="364" t="s">
        <v>1179</v>
      </c>
      <c r="F11" s="364" t="s">
        <v>64</v>
      </c>
      <c r="G11" s="368"/>
      <c r="H11" s="369" t="s">
        <v>936</v>
      </c>
      <c r="I11" s="369"/>
      <c r="J11" s="370">
        <f t="shared" si="0"/>
        <v>1988</v>
      </c>
      <c r="K11" s="370">
        <f t="shared" si="1"/>
        <v>0</v>
      </c>
      <c r="L11" s="371" t="s">
        <v>1016</v>
      </c>
      <c r="M11" s="372"/>
      <c r="N11" s="371" t="s">
        <v>355</v>
      </c>
      <c r="O11" s="371" t="s">
        <v>37</v>
      </c>
      <c r="P11" s="364" t="s">
        <v>356</v>
      </c>
      <c r="Q11" s="364" t="s">
        <v>357</v>
      </c>
      <c r="R11" s="364" t="s">
        <v>358</v>
      </c>
      <c r="S11" s="364" t="s">
        <v>193</v>
      </c>
      <c r="T11" s="364" t="s">
        <v>359</v>
      </c>
      <c r="U11" s="364" t="s">
        <v>361</v>
      </c>
      <c r="V11" s="364"/>
      <c r="W11" s="364" t="s">
        <v>516</v>
      </c>
      <c r="X11" s="364"/>
      <c r="Y11" s="364"/>
      <c r="Z11" s="364"/>
      <c r="AA11" s="364"/>
      <c r="AB11" s="364" t="s">
        <v>324</v>
      </c>
      <c r="AC11" s="364" t="s">
        <v>360</v>
      </c>
      <c r="AD11" s="364"/>
      <c r="AE11" s="364"/>
      <c r="AF11" s="364"/>
      <c r="AG11" s="687" t="s">
        <v>1360</v>
      </c>
      <c r="AH11" s="364"/>
      <c r="AI11" s="373">
        <v>8914080420</v>
      </c>
      <c r="AJ11" s="364">
        <v>351891727</v>
      </c>
      <c r="AK11" s="369" t="s">
        <v>708</v>
      </c>
      <c r="AL11" s="369" t="s">
        <v>770</v>
      </c>
      <c r="AM11" s="369" t="s">
        <v>770</v>
      </c>
      <c r="AN11" s="369" t="s">
        <v>843</v>
      </c>
      <c r="AO11" s="374"/>
      <c r="AP11" s="374"/>
      <c r="AQ11" s="374" t="str">
        <f t="shared" si="3"/>
        <v/>
      </c>
      <c r="AR11" s="364"/>
      <c r="AS11" s="364"/>
      <c r="AT11" s="375" t="s">
        <v>911</v>
      </c>
      <c r="AU11" s="212"/>
    </row>
    <row r="12" spans="1:49" s="118" customFormat="1" x14ac:dyDescent="0.25">
      <c r="A12" s="220"/>
      <c r="B12" s="128">
        <f>IF(F12&lt;&gt;0,MAX($B$8:B11)+1,"")</f>
        <v>5</v>
      </c>
      <c r="C12" s="132">
        <f>IF(F12="","",MAX($C$8:C11)+1)</f>
        <v>5</v>
      </c>
      <c r="D12" s="133">
        <v>33676</v>
      </c>
      <c r="E12" s="128"/>
      <c r="F12" s="128" t="s">
        <v>65</v>
      </c>
      <c r="G12" s="134" t="s">
        <v>355</v>
      </c>
      <c r="H12" s="135"/>
      <c r="I12" s="135" t="s">
        <v>639</v>
      </c>
      <c r="J12" s="125">
        <f t="shared" si="0"/>
        <v>0</v>
      </c>
      <c r="K12" s="125">
        <f t="shared" si="1"/>
        <v>1984</v>
      </c>
      <c r="L12" s="136" t="s">
        <v>1016</v>
      </c>
      <c r="M12" s="140"/>
      <c r="N12" s="136" t="s">
        <v>355</v>
      </c>
      <c r="O12" s="136" t="s">
        <v>37</v>
      </c>
      <c r="P12" s="128" t="s">
        <v>367</v>
      </c>
      <c r="Q12" s="128" t="s">
        <v>368</v>
      </c>
      <c r="R12" s="128" t="s">
        <v>369</v>
      </c>
      <c r="S12" s="128" t="s">
        <v>184</v>
      </c>
      <c r="T12" s="128" t="s">
        <v>370</v>
      </c>
      <c r="U12" s="128" t="s">
        <v>537</v>
      </c>
      <c r="V12" s="128"/>
      <c r="W12" s="128" t="str">
        <f t="shared" si="2"/>
        <v>TCCQ</v>
      </c>
      <c r="X12" s="128"/>
      <c r="Y12" s="128"/>
      <c r="Z12" s="128"/>
      <c r="AA12" s="128"/>
      <c r="AB12" s="128" t="s">
        <v>371</v>
      </c>
      <c r="AC12" s="128"/>
      <c r="AD12" s="128"/>
      <c r="AE12" s="128"/>
      <c r="AF12" s="128"/>
      <c r="AG12" s="687" t="s">
        <v>1375</v>
      </c>
      <c r="AH12" s="128"/>
      <c r="AI12" s="137">
        <v>8908011066</v>
      </c>
      <c r="AJ12" s="128">
        <v>352571880</v>
      </c>
      <c r="AK12" s="138" t="s">
        <v>709</v>
      </c>
      <c r="AL12" s="138" t="s">
        <v>771</v>
      </c>
      <c r="AM12" s="138" t="s">
        <v>807</v>
      </c>
      <c r="AN12" s="138" t="s">
        <v>844</v>
      </c>
      <c r="AO12" s="139"/>
      <c r="AP12" s="139"/>
      <c r="AQ12" s="139" t="str">
        <f t="shared" si="3"/>
        <v/>
      </c>
      <c r="AR12" s="128"/>
      <c r="AS12" s="128"/>
      <c r="AT12" s="128" t="s">
        <v>1116</v>
      </c>
      <c r="AU12" s="212"/>
    </row>
    <row r="13" spans="1:49" s="118" customFormat="1" x14ac:dyDescent="0.25">
      <c r="A13" s="220"/>
      <c r="B13" s="225">
        <f>IF(F13&lt;&gt;0,MAX($B$8:B12)+1,"")</f>
        <v>6</v>
      </c>
      <c r="C13" s="132">
        <f>IF(F13="","",MAX($C$8:C12)+1)</f>
        <v>6</v>
      </c>
      <c r="D13" s="367">
        <v>1180</v>
      </c>
      <c r="E13" s="364" t="s">
        <v>1187</v>
      </c>
      <c r="F13" s="364" t="s">
        <v>66</v>
      </c>
      <c r="G13" s="368"/>
      <c r="H13" s="369" t="s">
        <v>640</v>
      </c>
      <c r="I13" s="369"/>
      <c r="J13" s="370">
        <f t="shared" si="0"/>
        <v>1966</v>
      </c>
      <c r="K13" s="370">
        <f t="shared" si="1"/>
        <v>0</v>
      </c>
      <c r="L13" s="371" t="s">
        <v>1016</v>
      </c>
      <c r="M13" s="368"/>
      <c r="N13" s="371" t="s">
        <v>342</v>
      </c>
      <c r="O13" s="371" t="s">
        <v>355</v>
      </c>
      <c r="P13" s="364" t="s">
        <v>372</v>
      </c>
      <c r="Q13" s="364" t="s">
        <v>313</v>
      </c>
      <c r="R13" s="364" t="s">
        <v>353</v>
      </c>
      <c r="S13" s="364" t="s">
        <v>373</v>
      </c>
      <c r="T13" s="371" t="s">
        <v>355</v>
      </c>
      <c r="U13" s="364"/>
      <c r="V13" s="364"/>
      <c r="W13" s="364" t="str">
        <f t="shared" si="2"/>
        <v>x</v>
      </c>
      <c r="X13" s="364"/>
      <c r="Y13" s="364"/>
      <c r="Z13" s="364"/>
      <c r="AA13" s="364"/>
      <c r="AB13" s="364"/>
      <c r="AC13" s="364"/>
      <c r="AD13" s="364"/>
      <c r="AE13" s="364"/>
      <c r="AF13" s="364"/>
      <c r="AG13" s="687" t="s">
        <v>1357</v>
      </c>
      <c r="AH13" s="364"/>
      <c r="AI13" s="373">
        <v>5096017248</v>
      </c>
      <c r="AJ13" s="364">
        <v>350654730</v>
      </c>
      <c r="AK13" s="369" t="s">
        <v>710</v>
      </c>
      <c r="AL13" s="369" t="s">
        <v>772</v>
      </c>
      <c r="AM13" s="369" t="s">
        <v>772</v>
      </c>
      <c r="AN13" s="369" t="s">
        <v>842</v>
      </c>
      <c r="AO13" s="374"/>
      <c r="AP13" s="374"/>
      <c r="AQ13" s="374" t="str">
        <f t="shared" si="3"/>
        <v/>
      </c>
      <c r="AR13" s="364"/>
      <c r="AS13" s="364"/>
      <c r="AT13" s="364"/>
      <c r="AU13" s="212"/>
    </row>
    <row r="14" spans="1:49" s="118" customFormat="1" x14ac:dyDescent="0.25">
      <c r="A14" s="220"/>
      <c r="B14" s="142">
        <f>IF(F14&lt;&gt;0,MAX($B$8:B13)+1,"")</f>
        <v>7</v>
      </c>
      <c r="C14" s="143">
        <f>IF(F14="","",MAX($C$8:C13)+1)</f>
        <v>7</v>
      </c>
      <c r="D14" s="144">
        <v>29943</v>
      </c>
      <c r="E14" s="142"/>
      <c r="F14" s="142" t="s">
        <v>67</v>
      </c>
      <c r="G14" s="145"/>
      <c r="H14" s="146" t="s">
        <v>641</v>
      </c>
      <c r="I14" s="146"/>
      <c r="J14" s="291">
        <f t="shared" si="0"/>
        <v>1969</v>
      </c>
      <c r="K14" s="147">
        <f t="shared" si="1"/>
        <v>0</v>
      </c>
      <c r="L14" s="148" t="s">
        <v>1016</v>
      </c>
      <c r="M14" s="145"/>
      <c r="N14" s="148" t="s">
        <v>352</v>
      </c>
      <c r="O14" s="148" t="s">
        <v>37</v>
      </c>
      <c r="P14" s="142" t="s">
        <v>334</v>
      </c>
      <c r="Q14" s="142" t="s">
        <v>302</v>
      </c>
      <c r="R14" s="142" t="s">
        <v>353</v>
      </c>
      <c r="S14" s="142" t="s">
        <v>940</v>
      </c>
      <c r="T14" s="148" t="s">
        <v>355</v>
      </c>
      <c r="U14" s="142"/>
      <c r="V14" s="142"/>
      <c r="W14" s="142" t="str">
        <f t="shared" si="2"/>
        <v>x</v>
      </c>
      <c r="X14" s="142"/>
      <c r="Y14" s="142"/>
      <c r="Z14" s="142"/>
      <c r="AA14" s="142"/>
      <c r="AB14" s="142"/>
      <c r="AC14" s="142"/>
      <c r="AD14" s="142"/>
      <c r="AE14" s="142"/>
      <c r="AF14" s="142"/>
      <c r="AG14" s="687" t="s">
        <v>1357</v>
      </c>
      <c r="AH14" s="142"/>
      <c r="AI14" s="149">
        <v>5006003483</v>
      </c>
      <c r="AJ14" s="142">
        <v>350836806</v>
      </c>
      <c r="AK14" s="146" t="s">
        <v>711</v>
      </c>
      <c r="AL14" s="146" t="s">
        <v>773</v>
      </c>
      <c r="AM14" s="146" t="s">
        <v>773</v>
      </c>
      <c r="AN14" s="150" t="s">
        <v>1109</v>
      </c>
      <c r="AO14" s="150"/>
      <c r="AP14" s="150"/>
      <c r="AQ14" s="150" t="str">
        <f t="shared" si="3"/>
        <v/>
      </c>
      <c r="AR14" s="142"/>
      <c r="AS14" s="142"/>
      <c r="AT14" s="142" t="s">
        <v>1117</v>
      </c>
      <c r="AU14" s="212"/>
    </row>
    <row r="15" spans="1:49" x14ac:dyDescent="0.25">
      <c r="A15" s="220"/>
      <c r="B15" s="151">
        <f>IF(F15&lt;&gt;0,MAX($B$8:B14)+1,"")</f>
        <v>8</v>
      </c>
      <c r="C15" s="152">
        <f>IF(F15="","",1)</f>
        <v>1</v>
      </c>
      <c r="D15" s="153">
        <v>1392</v>
      </c>
      <c r="E15" s="151"/>
      <c r="F15" s="151" t="s">
        <v>43</v>
      </c>
      <c r="G15" s="154"/>
      <c r="H15" s="155" t="s">
        <v>642</v>
      </c>
      <c r="I15" s="155"/>
      <c r="J15" s="156">
        <f t="shared" si="0"/>
        <v>1967</v>
      </c>
      <c r="K15" s="156">
        <f t="shared" si="1"/>
        <v>0</v>
      </c>
      <c r="L15" s="157" t="s">
        <v>36</v>
      </c>
      <c r="M15" s="158" t="s">
        <v>898</v>
      </c>
      <c r="N15" s="157" t="s">
        <v>355</v>
      </c>
      <c r="O15" s="157" t="s">
        <v>37</v>
      </c>
      <c r="P15" s="151" t="s">
        <v>279</v>
      </c>
      <c r="Q15" s="151" t="s">
        <v>288</v>
      </c>
      <c r="R15" s="151" t="s">
        <v>376</v>
      </c>
      <c r="S15" s="151" t="s">
        <v>265</v>
      </c>
      <c r="T15" s="151" t="s">
        <v>278</v>
      </c>
      <c r="U15" s="151" t="s">
        <v>538</v>
      </c>
      <c r="V15" s="151" t="s">
        <v>285</v>
      </c>
      <c r="W15" s="151" t="s">
        <v>517</v>
      </c>
      <c r="X15" s="151" t="s">
        <v>943</v>
      </c>
      <c r="Y15" s="151"/>
      <c r="Z15" s="151" t="s">
        <v>280</v>
      </c>
      <c r="AA15" s="151" t="s">
        <v>281</v>
      </c>
      <c r="AB15" s="151"/>
      <c r="AC15" s="151"/>
      <c r="AD15" s="151" t="s">
        <v>282</v>
      </c>
      <c r="AE15" s="151" t="s">
        <v>231</v>
      </c>
      <c r="AF15" s="151" t="s">
        <v>283</v>
      </c>
      <c r="AG15" s="151" t="s">
        <v>587</v>
      </c>
      <c r="AH15" s="151" t="s">
        <v>216</v>
      </c>
      <c r="AI15" s="159">
        <v>5096004261</v>
      </c>
      <c r="AJ15" s="151">
        <v>350829378</v>
      </c>
      <c r="AK15" s="155" t="s">
        <v>921</v>
      </c>
      <c r="AL15" s="155" t="s">
        <v>590</v>
      </c>
      <c r="AM15" s="155" t="s">
        <v>808</v>
      </c>
      <c r="AN15" s="155" t="s">
        <v>845</v>
      </c>
      <c r="AO15" s="155" t="s">
        <v>873</v>
      </c>
      <c r="AP15" s="160" t="s">
        <v>284</v>
      </c>
      <c r="AQ15" s="160">
        <f t="shared" si="3"/>
        <v>1998</v>
      </c>
      <c r="AR15" s="151">
        <v>1986</v>
      </c>
      <c r="AS15" s="151">
        <v>1989</v>
      </c>
      <c r="AT15" s="161" t="s">
        <v>1118</v>
      </c>
      <c r="AU15" s="212"/>
    </row>
    <row r="16" spans="1:49" x14ac:dyDescent="0.25">
      <c r="A16" s="220"/>
      <c r="B16" s="162">
        <f>IF(F16&lt;&gt;0,MAX($B$8:B15)+1,"")</f>
        <v>9</v>
      </c>
      <c r="C16" s="163">
        <f>IF(F16="","",MAX($C$15:C15)+1)</f>
        <v>2</v>
      </c>
      <c r="D16" s="164">
        <v>1426</v>
      </c>
      <c r="E16" s="162"/>
      <c r="F16" s="162" t="s">
        <v>68</v>
      </c>
      <c r="G16" s="165"/>
      <c r="H16" s="166" t="s">
        <v>643</v>
      </c>
      <c r="I16" s="166"/>
      <c r="J16" s="167">
        <f t="shared" si="0"/>
        <v>1968</v>
      </c>
      <c r="K16" s="167">
        <f t="shared" si="1"/>
        <v>0</v>
      </c>
      <c r="L16" s="168" t="s">
        <v>38</v>
      </c>
      <c r="M16" s="169" t="s">
        <v>913</v>
      </c>
      <c r="N16" s="168" t="s">
        <v>355</v>
      </c>
      <c r="O16" s="168" t="s">
        <v>37</v>
      </c>
      <c r="P16" s="162" t="s">
        <v>334</v>
      </c>
      <c r="Q16" s="162" t="s">
        <v>302</v>
      </c>
      <c r="R16" s="162" t="s">
        <v>353</v>
      </c>
      <c r="S16" s="162" t="s">
        <v>265</v>
      </c>
      <c r="T16" s="162" t="s">
        <v>213</v>
      </c>
      <c r="U16" s="162" t="s">
        <v>232</v>
      </c>
      <c r="V16" s="162"/>
      <c r="W16" s="162" t="str">
        <f t="shared" si="2"/>
        <v>ĐHTX</v>
      </c>
      <c r="X16" s="162" t="s">
        <v>944</v>
      </c>
      <c r="Y16" s="162"/>
      <c r="Z16" s="162" t="s">
        <v>377</v>
      </c>
      <c r="AA16" s="162" t="s">
        <v>149</v>
      </c>
      <c r="AB16" s="162" t="s">
        <v>131</v>
      </c>
      <c r="AC16" s="162" t="s">
        <v>230</v>
      </c>
      <c r="AD16" s="162"/>
      <c r="AE16" s="162" t="s">
        <v>231</v>
      </c>
      <c r="AF16" s="162" t="s">
        <v>283</v>
      </c>
      <c r="AG16" s="162" t="s">
        <v>587</v>
      </c>
      <c r="AH16" s="162" t="s">
        <v>229</v>
      </c>
      <c r="AI16" s="170">
        <v>5096017217</v>
      </c>
      <c r="AJ16" s="162">
        <v>350770109</v>
      </c>
      <c r="AK16" s="166" t="s">
        <v>712</v>
      </c>
      <c r="AL16" s="166" t="s">
        <v>774</v>
      </c>
      <c r="AM16" s="166" t="s">
        <v>838</v>
      </c>
      <c r="AN16" s="166" t="s">
        <v>846</v>
      </c>
      <c r="AO16" s="166" t="s">
        <v>729</v>
      </c>
      <c r="AP16" s="171" t="s">
        <v>233</v>
      </c>
      <c r="AQ16" s="171">
        <f t="shared" si="3"/>
        <v>2003</v>
      </c>
      <c r="AR16" s="162"/>
      <c r="AS16" s="162"/>
      <c r="AT16" s="172" t="s">
        <v>920</v>
      </c>
      <c r="AU16" s="212"/>
    </row>
    <row r="17" spans="1:47" x14ac:dyDescent="0.25">
      <c r="A17" s="220"/>
      <c r="B17" s="162">
        <f>IF(F17&lt;&gt;0,MAX($B$8:B16)+1,"")</f>
        <v>10</v>
      </c>
      <c r="C17" s="163">
        <f>IF(F17="","",MAX($C$15:C16)+1)</f>
        <v>3</v>
      </c>
      <c r="D17" s="164">
        <v>1161</v>
      </c>
      <c r="E17" s="162"/>
      <c r="F17" s="162" t="s">
        <v>69</v>
      </c>
      <c r="G17" s="165"/>
      <c r="H17" s="356" t="s">
        <v>937</v>
      </c>
      <c r="I17" s="166"/>
      <c r="J17" s="167">
        <f t="shared" si="0"/>
        <v>1977</v>
      </c>
      <c r="K17" s="167">
        <f t="shared" si="1"/>
        <v>0</v>
      </c>
      <c r="L17" s="168" t="s">
        <v>38</v>
      </c>
      <c r="M17" s="169" t="s">
        <v>898</v>
      </c>
      <c r="N17" s="168" t="s">
        <v>295</v>
      </c>
      <c r="O17" s="168" t="s">
        <v>37</v>
      </c>
      <c r="P17" s="162" t="s">
        <v>286</v>
      </c>
      <c r="Q17" s="162" t="s">
        <v>287</v>
      </c>
      <c r="R17" s="162" t="s">
        <v>311</v>
      </c>
      <c r="S17" s="162" t="s">
        <v>289</v>
      </c>
      <c r="T17" s="162" t="s">
        <v>931</v>
      </c>
      <c r="U17" s="162" t="s">
        <v>934</v>
      </c>
      <c r="V17" s="162"/>
      <c r="W17" s="162" t="str">
        <f t="shared" si="2"/>
        <v>ĐHTC</v>
      </c>
      <c r="X17" s="162" t="s">
        <v>945</v>
      </c>
      <c r="Y17" s="162"/>
      <c r="Z17" s="162" t="s">
        <v>1083</v>
      </c>
      <c r="AA17" s="162" t="s">
        <v>297</v>
      </c>
      <c r="AB17" s="162" t="s">
        <v>202</v>
      </c>
      <c r="AC17" s="162" t="s">
        <v>290</v>
      </c>
      <c r="AD17" s="162"/>
      <c r="AE17" s="162" t="s">
        <v>291</v>
      </c>
      <c r="AF17" s="162"/>
      <c r="AG17" s="224" t="s">
        <v>1037</v>
      </c>
      <c r="AH17" s="639"/>
      <c r="AI17" s="170">
        <v>5098021778</v>
      </c>
      <c r="AJ17" s="162">
        <v>351768511</v>
      </c>
      <c r="AK17" s="166" t="s">
        <v>713</v>
      </c>
      <c r="AL17" s="166" t="s">
        <v>775</v>
      </c>
      <c r="AM17" s="166" t="s">
        <v>809</v>
      </c>
      <c r="AN17" s="166" t="s">
        <v>847</v>
      </c>
      <c r="AO17" s="166" t="s">
        <v>874</v>
      </c>
      <c r="AP17" s="171" t="s">
        <v>296</v>
      </c>
      <c r="AQ17" s="171">
        <f t="shared" si="3"/>
        <v>2002</v>
      </c>
      <c r="AR17" s="162"/>
      <c r="AS17" s="162"/>
      <c r="AT17" s="172" t="s">
        <v>919</v>
      </c>
      <c r="AU17" s="212"/>
    </row>
    <row r="18" spans="1:47" x14ac:dyDescent="0.25">
      <c r="A18" s="220"/>
      <c r="B18" s="162">
        <f>IF(F18&lt;&gt;0,MAX($B$8:B17)+1,"")</f>
        <v>11</v>
      </c>
      <c r="C18" s="163">
        <f>IF(F18="","",MAX($C$15:C17)+1)</f>
        <v>4</v>
      </c>
      <c r="D18" s="164">
        <v>17009</v>
      </c>
      <c r="E18" s="162"/>
      <c r="F18" s="162" t="s">
        <v>70</v>
      </c>
      <c r="G18" s="165"/>
      <c r="H18" s="166" t="s">
        <v>644</v>
      </c>
      <c r="I18" s="166"/>
      <c r="J18" s="167">
        <f t="shared" si="0"/>
        <v>1979</v>
      </c>
      <c r="K18" s="167">
        <f t="shared" si="1"/>
        <v>0</v>
      </c>
      <c r="L18" s="168" t="s">
        <v>39</v>
      </c>
      <c r="M18" s="165"/>
      <c r="N18" s="168" t="s">
        <v>342</v>
      </c>
      <c r="O18" s="168" t="s">
        <v>364</v>
      </c>
      <c r="P18" s="162" t="s">
        <v>339</v>
      </c>
      <c r="Q18" s="162" t="s">
        <v>301</v>
      </c>
      <c r="R18" s="162" t="s">
        <v>365</v>
      </c>
      <c r="S18" s="162" t="s">
        <v>142</v>
      </c>
      <c r="T18" s="162" t="s">
        <v>234</v>
      </c>
      <c r="U18" s="162" t="s">
        <v>539</v>
      </c>
      <c r="V18" s="162"/>
      <c r="W18" s="162" t="str">
        <f t="shared" si="2"/>
        <v>ĐHTX</v>
      </c>
      <c r="X18" s="162" t="s">
        <v>946</v>
      </c>
      <c r="Y18" s="162"/>
      <c r="Z18" s="162"/>
      <c r="AA18" s="162" t="s">
        <v>636</v>
      </c>
      <c r="AB18" s="162" t="s">
        <v>235</v>
      </c>
      <c r="AC18" s="162" t="s">
        <v>144</v>
      </c>
      <c r="AD18" s="162"/>
      <c r="AE18" s="162"/>
      <c r="AF18" s="162"/>
      <c r="AG18" s="162" t="s">
        <v>587</v>
      </c>
      <c r="AH18" s="162" t="s">
        <v>236</v>
      </c>
      <c r="AI18" s="170">
        <v>5002002322</v>
      </c>
      <c r="AJ18" s="162">
        <v>351300396</v>
      </c>
      <c r="AK18" s="166" t="s">
        <v>714</v>
      </c>
      <c r="AL18" s="166" t="s">
        <v>776</v>
      </c>
      <c r="AM18" s="166" t="s">
        <v>810</v>
      </c>
      <c r="AN18" s="166" t="s">
        <v>848</v>
      </c>
      <c r="AO18" s="166" t="s">
        <v>737</v>
      </c>
      <c r="AP18" s="171" t="s">
        <v>237</v>
      </c>
      <c r="AQ18" s="171">
        <f t="shared" si="3"/>
        <v>2006</v>
      </c>
      <c r="AR18" s="162"/>
      <c r="AS18" s="162"/>
      <c r="AT18" s="162" t="s">
        <v>1119</v>
      </c>
      <c r="AU18" s="212"/>
    </row>
    <row r="19" spans="1:47" x14ac:dyDescent="0.25">
      <c r="A19" s="220"/>
      <c r="B19" s="303">
        <f>IF(F19&lt;&gt;0,MAX($B$8:B18)+1,"")</f>
        <v>12</v>
      </c>
      <c r="C19" s="174">
        <f>IF(F19="","",MAX($C$15:C18)+1)</f>
        <v>5</v>
      </c>
      <c r="D19" s="175">
        <v>1222</v>
      </c>
      <c r="E19" s="173"/>
      <c r="F19" s="173" t="s">
        <v>71</v>
      </c>
      <c r="G19" s="176"/>
      <c r="H19" s="177" t="s">
        <v>645</v>
      </c>
      <c r="I19" s="177"/>
      <c r="J19" s="178">
        <f t="shared" si="0"/>
        <v>1965</v>
      </c>
      <c r="K19" s="178">
        <f t="shared" si="1"/>
        <v>0</v>
      </c>
      <c r="L19" s="179" t="s">
        <v>39</v>
      </c>
      <c r="M19" s="176"/>
      <c r="N19" s="179" t="s">
        <v>352</v>
      </c>
      <c r="O19" s="179" t="s">
        <v>37</v>
      </c>
      <c r="P19" s="173" t="s">
        <v>435</v>
      </c>
      <c r="Q19" s="173" t="s">
        <v>302</v>
      </c>
      <c r="R19" s="173" t="s">
        <v>489</v>
      </c>
      <c r="S19" s="173" t="s">
        <v>150</v>
      </c>
      <c r="T19" s="173" t="s">
        <v>217</v>
      </c>
      <c r="U19" s="173" t="s">
        <v>219</v>
      </c>
      <c r="V19" s="173" t="s">
        <v>218</v>
      </c>
      <c r="W19" s="173" t="str">
        <f t="shared" si="2"/>
        <v>ĐHTX</v>
      </c>
      <c r="X19" s="173" t="s">
        <v>947</v>
      </c>
      <c r="Y19" s="173" t="s">
        <v>949</v>
      </c>
      <c r="Z19" s="173" t="s">
        <v>490</v>
      </c>
      <c r="AA19" s="173" t="s">
        <v>559</v>
      </c>
      <c r="AB19" s="173" t="s">
        <v>197</v>
      </c>
      <c r="AC19" s="173"/>
      <c r="AD19" s="173"/>
      <c r="AE19" s="173"/>
      <c r="AF19" s="173"/>
      <c r="AG19" s="173" t="s">
        <v>587</v>
      </c>
      <c r="AH19" s="173" t="s">
        <v>1231</v>
      </c>
      <c r="AI19" s="180">
        <v>5096017199</v>
      </c>
      <c r="AJ19" s="173">
        <v>350654244</v>
      </c>
      <c r="AK19" s="177" t="s">
        <v>715</v>
      </c>
      <c r="AL19" s="177" t="s">
        <v>777</v>
      </c>
      <c r="AM19" s="177" t="s">
        <v>811</v>
      </c>
      <c r="AN19" s="177" t="s">
        <v>849</v>
      </c>
      <c r="AO19" s="177" t="s">
        <v>875</v>
      </c>
      <c r="AP19" s="181" t="s">
        <v>220</v>
      </c>
      <c r="AQ19" s="181">
        <f t="shared" si="3"/>
        <v>2004</v>
      </c>
      <c r="AR19" s="173"/>
      <c r="AS19" s="173"/>
      <c r="AT19" s="173" t="s">
        <v>1120</v>
      </c>
      <c r="AU19" s="212"/>
    </row>
    <row r="20" spans="1:47" s="118" customFormat="1" x14ac:dyDescent="0.25">
      <c r="A20" s="220"/>
      <c r="B20" s="696">
        <f>IF(F20&lt;&gt;0,MAX($B$8:B19)+1,"")</f>
        <v>13</v>
      </c>
      <c r="C20" s="182">
        <f>IF(F20="","",1)</f>
        <v>1</v>
      </c>
      <c r="D20" s="183">
        <v>15102</v>
      </c>
      <c r="E20" s="122"/>
      <c r="F20" s="122" t="s">
        <v>73</v>
      </c>
      <c r="G20" s="123"/>
      <c r="H20" s="184" t="s">
        <v>647</v>
      </c>
      <c r="I20" s="184"/>
      <c r="J20" s="185">
        <f t="shared" si="0"/>
        <v>1975</v>
      </c>
      <c r="K20" s="185">
        <f t="shared" si="1"/>
        <v>0</v>
      </c>
      <c r="L20" s="228" t="s">
        <v>39</v>
      </c>
      <c r="M20" s="123"/>
      <c r="N20" s="126" t="s">
        <v>342</v>
      </c>
      <c r="O20" s="126" t="s">
        <v>37</v>
      </c>
      <c r="P20" s="122" t="s">
        <v>334</v>
      </c>
      <c r="Q20" s="122" t="s">
        <v>310</v>
      </c>
      <c r="R20" s="122" t="s">
        <v>369</v>
      </c>
      <c r="S20" s="122" t="s">
        <v>1406</v>
      </c>
      <c r="T20" s="122" t="s">
        <v>260</v>
      </c>
      <c r="U20" s="122" t="s">
        <v>556</v>
      </c>
      <c r="V20" s="122" t="s">
        <v>285</v>
      </c>
      <c r="W20" s="122" t="s">
        <v>514</v>
      </c>
      <c r="X20" s="122" t="s">
        <v>946</v>
      </c>
      <c r="Y20" s="122" t="s">
        <v>946</v>
      </c>
      <c r="Z20" s="122" t="s">
        <v>386</v>
      </c>
      <c r="AA20" s="122"/>
      <c r="AB20" s="122" t="s">
        <v>202</v>
      </c>
      <c r="AC20" s="122"/>
      <c r="AD20" s="122" t="s">
        <v>282</v>
      </c>
      <c r="AE20" s="122" t="s">
        <v>231</v>
      </c>
      <c r="AF20" s="122"/>
      <c r="AG20" s="122" t="s">
        <v>587</v>
      </c>
      <c r="AH20" s="122" t="s">
        <v>261</v>
      </c>
      <c r="AI20" s="186">
        <v>5099029905</v>
      </c>
      <c r="AJ20" s="122">
        <v>351079520</v>
      </c>
      <c r="AK20" s="184" t="s">
        <v>717</v>
      </c>
      <c r="AL20" s="184" t="s">
        <v>779</v>
      </c>
      <c r="AM20" s="184" t="s">
        <v>813</v>
      </c>
      <c r="AN20" s="184" t="s">
        <v>850</v>
      </c>
      <c r="AO20" s="184" t="s">
        <v>877</v>
      </c>
      <c r="AP20" s="187" t="s">
        <v>262</v>
      </c>
      <c r="AQ20" s="187">
        <f t="shared" si="3"/>
        <v>2003</v>
      </c>
      <c r="AR20" s="122"/>
      <c r="AS20" s="122"/>
      <c r="AT20" s="122" t="s">
        <v>1121</v>
      </c>
      <c r="AU20" s="212"/>
    </row>
    <row r="21" spans="1:47" s="118" customFormat="1" x14ac:dyDescent="0.25">
      <c r="A21" s="220"/>
      <c r="B21" s="128">
        <f>IF(F21&lt;&gt;0,MAX($B$8:B20)+1,"")</f>
        <v>14</v>
      </c>
      <c r="C21" s="132">
        <f>IF(F21="","",MAX($C$20:C20)+1)</f>
        <v>2</v>
      </c>
      <c r="D21" s="133">
        <v>28145</v>
      </c>
      <c r="E21" s="128"/>
      <c r="F21" s="128" t="s">
        <v>72</v>
      </c>
      <c r="G21" s="134" t="s">
        <v>355</v>
      </c>
      <c r="H21" s="135"/>
      <c r="I21" s="135" t="s">
        <v>646</v>
      </c>
      <c r="J21" s="125">
        <f t="shared" si="0"/>
        <v>0</v>
      </c>
      <c r="K21" s="125">
        <f t="shared" si="1"/>
        <v>1983</v>
      </c>
      <c r="L21" s="227" t="s">
        <v>39</v>
      </c>
      <c r="M21" s="134"/>
      <c r="N21" s="136" t="s">
        <v>342</v>
      </c>
      <c r="O21" s="136" t="s">
        <v>37</v>
      </c>
      <c r="P21" s="128" t="s">
        <v>382</v>
      </c>
      <c r="Q21" s="128" t="s">
        <v>288</v>
      </c>
      <c r="R21" s="128" t="s">
        <v>383</v>
      </c>
      <c r="S21" s="128" t="s">
        <v>246</v>
      </c>
      <c r="T21" s="128" t="s">
        <v>253</v>
      </c>
      <c r="U21" s="128" t="s">
        <v>557</v>
      </c>
      <c r="V21" s="128"/>
      <c r="W21" s="128" t="str">
        <f t="shared" ref="W21:W27" si="4">IF(AND(T21&lt;&gt;"",U21="",V21=""),LEFT(T21,4),IF(AND(T21&lt;&gt;"",U21&lt;&gt;"",V21=""),LEFT(U21,4),LEFT(V21,4)))</f>
        <v>ĐHTX</v>
      </c>
      <c r="X21" s="128" t="s">
        <v>946</v>
      </c>
      <c r="Y21" s="128" t="s">
        <v>946</v>
      </c>
      <c r="Z21" s="128"/>
      <c r="AA21" s="128" t="s">
        <v>254</v>
      </c>
      <c r="AB21" s="128" t="s">
        <v>202</v>
      </c>
      <c r="AC21" s="128"/>
      <c r="AD21" s="128"/>
      <c r="AE21" s="128"/>
      <c r="AF21" s="128"/>
      <c r="AG21" s="128" t="s">
        <v>587</v>
      </c>
      <c r="AH21" s="128" t="s">
        <v>255</v>
      </c>
      <c r="AI21" s="137">
        <v>5006000414</v>
      </c>
      <c r="AJ21" s="128">
        <v>351577831</v>
      </c>
      <c r="AK21" s="138" t="s">
        <v>716</v>
      </c>
      <c r="AL21" s="138" t="s">
        <v>778</v>
      </c>
      <c r="AM21" s="138" t="s">
        <v>812</v>
      </c>
      <c r="AN21" s="138" t="s">
        <v>780</v>
      </c>
      <c r="AO21" s="138" t="s">
        <v>876</v>
      </c>
      <c r="AP21" s="139" t="s">
        <v>256</v>
      </c>
      <c r="AQ21" s="139">
        <f t="shared" si="3"/>
        <v>2008</v>
      </c>
      <c r="AR21" s="128"/>
      <c r="AS21" s="128"/>
      <c r="AT21" s="128" t="s">
        <v>1122</v>
      </c>
      <c r="AU21" s="212"/>
    </row>
    <row r="22" spans="1:47" s="118" customFormat="1" x14ac:dyDescent="0.25">
      <c r="A22" s="220"/>
      <c r="B22" s="225">
        <f>IF(F22&lt;&gt;0,MAX($B$8:B21)+1,"")</f>
        <v>15</v>
      </c>
      <c r="C22" s="132">
        <f>IF(F22="","",MAX($C$20:C21)+1)</f>
        <v>3</v>
      </c>
      <c r="D22" s="133">
        <v>27865</v>
      </c>
      <c r="E22" s="128"/>
      <c r="F22" s="128" t="s">
        <v>74</v>
      </c>
      <c r="G22" s="134"/>
      <c r="H22" s="138" t="s">
        <v>648</v>
      </c>
      <c r="I22" s="138"/>
      <c r="J22" s="125">
        <f t="shared" si="0"/>
        <v>1982</v>
      </c>
      <c r="K22" s="125">
        <f t="shared" si="1"/>
        <v>0</v>
      </c>
      <c r="L22" s="136" t="s">
        <v>39</v>
      </c>
      <c r="M22" s="134"/>
      <c r="N22" s="136" t="s">
        <v>342</v>
      </c>
      <c r="O22" s="136" t="s">
        <v>37</v>
      </c>
      <c r="P22" s="128" t="s">
        <v>339</v>
      </c>
      <c r="Q22" s="128" t="s">
        <v>301</v>
      </c>
      <c r="R22" s="128" t="s">
        <v>385</v>
      </c>
      <c r="S22" s="128" t="s">
        <v>247</v>
      </c>
      <c r="T22" s="128" t="s">
        <v>259</v>
      </c>
      <c r="U22" s="128"/>
      <c r="V22" s="128"/>
      <c r="W22" s="128" t="str">
        <f t="shared" si="4"/>
        <v>ĐHCQ</v>
      </c>
      <c r="X22" s="128" t="s">
        <v>946</v>
      </c>
      <c r="Y22" s="128" t="s">
        <v>946</v>
      </c>
      <c r="Z22" s="128" t="s">
        <v>251</v>
      </c>
      <c r="AA22" s="128" t="s">
        <v>250</v>
      </c>
      <c r="AB22" s="128" t="s">
        <v>148</v>
      </c>
      <c r="AC22" s="128"/>
      <c r="AD22" s="128"/>
      <c r="AE22" s="128"/>
      <c r="AF22" s="128" t="s">
        <v>249</v>
      </c>
      <c r="AG22" s="128" t="s">
        <v>587</v>
      </c>
      <c r="AH22" s="128" t="s">
        <v>248</v>
      </c>
      <c r="AI22" s="137">
        <v>5006003481</v>
      </c>
      <c r="AJ22" s="128">
        <v>351423247</v>
      </c>
      <c r="AK22" s="138" t="s">
        <v>718</v>
      </c>
      <c r="AL22" s="138" t="s">
        <v>778</v>
      </c>
      <c r="AM22" s="138" t="s">
        <v>778</v>
      </c>
      <c r="AN22" s="138" t="s">
        <v>780</v>
      </c>
      <c r="AO22" s="138" t="s">
        <v>917</v>
      </c>
      <c r="AP22" s="139" t="s">
        <v>252</v>
      </c>
      <c r="AQ22" s="139">
        <f t="shared" si="3"/>
        <v>2008</v>
      </c>
      <c r="AR22" s="128"/>
      <c r="AS22" s="128"/>
      <c r="AT22" s="128" t="s">
        <v>1123</v>
      </c>
      <c r="AU22" s="212"/>
    </row>
    <row r="23" spans="1:47" s="118" customFormat="1" x14ac:dyDescent="0.25">
      <c r="A23" s="220"/>
      <c r="B23" s="225">
        <f>IF(F23&lt;&gt;0,MAX($B$8:B22)+1,"")</f>
        <v>16</v>
      </c>
      <c r="C23" s="132">
        <f>IF(F23="","",MAX($C$20:C22)+1)</f>
        <v>4</v>
      </c>
      <c r="D23" s="133">
        <v>30084</v>
      </c>
      <c r="E23" s="128"/>
      <c r="F23" s="128" t="s">
        <v>40</v>
      </c>
      <c r="G23" s="134" t="s">
        <v>355</v>
      </c>
      <c r="H23" s="135"/>
      <c r="I23" s="135" t="s">
        <v>649</v>
      </c>
      <c r="J23" s="125">
        <f t="shared" si="0"/>
        <v>0</v>
      </c>
      <c r="K23" s="125">
        <f t="shared" si="1"/>
        <v>1981</v>
      </c>
      <c r="L23" s="136" t="s">
        <v>39</v>
      </c>
      <c r="M23" s="134"/>
      <c r="N23" s="136" t="s">
        <v>342</v>
      </c>
      <c r="O23" s="136" t="s">
        <v>37</v>
      </c>
      <c r="P23" s="128" t="s">
        <v>391</v>
      </c>
      <c r="Q23" s="128" t="s">
        <v>315</v>
      </c>
      <c r="R23" s="128" t="s">
        <v>392</v>
      </c>
      <c r="S23" s="128" t="s">
        <v>257</v>
      </c>
      <c r="T23" s="128" t="s">
        <v>1093</v>
      </c>
      <c r="U23" s="128" t="s">
        <v>557</v>
      </c>
      <c r="V23" s="128"/>
      <c r="W23" s="128" t="str">
        <f t="shared" si="4"/>
        <v>ĐHTX</v>
      </c>
      <c r="X23" s="128" t="s">
        <v>946</v>
      </c>
      <c r="Y23" s="128" t="s">
        <v>946</v>
      </c>
      <c r="Z23" s="128"/>
      <c r="AA23" s="128"/>
      <c r="AB23" s="128" t="s">
        <v>134</v>
      </c>
      <c r="AC23" s="128"/>
      <c r="AD23" s="128"/>
      <c r="AE23" s="128"/>
      <c r="AF23" s="128"/>
      <c r="AG23" s="128" t="s">
        <v>587</v>
      </c>
      <c r="AH23" s="128" t="s">
        <v>258</v>
      </c>
      <c r="AI23" s="137">
        <v>8908006813</v>
      </c>
      <c r="AJ23" s="128">
        <v>351436415</v>
      </c>
      <c r="AK23" s="138" t="s">
        <v>719</v>
      </c>
      <c r="AL23" s="138" t="s">
        <v>780</v>
      </c>
      <c r="AM23" s="138" t="s">
        <v>780</v>
      </c>
      <c r="AN23" s="138" t="s">
        <v>788</v>
      </c>
      <c r="AO23" s="138" t="s">
        <v>918</v>
      </c>
      <c r="AP23" s="188" t="s">
        <v>263</v>
      </c>
      <c r="AQ23" s="139">
        <f t="shared" si="3"/>
        <v>2011</v>
      </c>
      <c r="AR23" s="128"/>
      <c r="AS23" s="128"/>
      <c r="AT23" s="128" t="s">
        <v>1124</v>
      </c>
      <c r="AU23" s="212"/>
    </row>
    <row r="24" spans="1:47" s="118" customFormat="1" x14ac:dyDescent="0.25">
      <c r="A24" s="220"/>
      <c r="B24" s="225">
        <f>IF(F24&lt;&gt;0,MAX($B$8:B23)+1,"")</f>
        <v>17</v>
      </c>
      <c r="C24" s="132">
        <f>IF(F24="","",MAX($C$20:C23)+1)</f>
        <v>5</v>
      </c>
      <c r="D24" s="133">
        <v>25188</v>
      </c>
      <c r="E24" s="128"/>
      <c r="F24" s="128" t="s">
        <v>79</v>
      </c>
      <c r="G24" s="134" t="s">
        <v>355</v>
      </c>
      <c r="H24" s="135"/>
      <c r="I24" s="135" t="s">
        <v>656</v>
      </c>
      <c r="J24" s="125">
        <f t="shared" si="0"/>
        <v>0</v>
      </c>
      <c r="K24" s="125">
        <f t="shared" si="1"/>
        <v>1983</v>
      </c>
      <c r="L24" s="136" t="s">
        <v>39</v>
      </c>
      <c r="M24" s="134"/>
      <c r="N24" s="136" t="s">
        <v>355</v>
      </c>
      <c r="O24" s="136" t="s">
        <v>402</v>
      </c>
      <c r="P24" s="128" t="s">
        <v>334</v>
      </c>
      <c r="Q24" s="128" t="s">
        <v>302</v>
      </c>
      <c r="R24" s="128" t="s">
        <v>397</v>
      </c>
      <c r="S24" s="128" t="s">
        <v>246</v>
      </c>
      <c r="T24" s="128" t="s">
        <v>244</v>
      </c>
      <c r="U24" s="128" t="s">
        <v>555</v>
      </c>
      <c r="V24" s="128"/>
      <c r="W24" s="128" t="str">
        <f t="shared" si="4"/>
        <v>ĐHTX</v>
      </c>
      <c r="X24" s="128" t="s">
        <v>946</v>
      </c>
      <c r="Y24" s="128" t="s">
        <v>946</v>
      </c>
      <c r="Z24" s="128"/>
      <c r="AA24" s="128"/>
      <c r="AB24" s="128" t="s">
        <v>197</v>
      </c>
      <c r="AC24" s="128"/>
      <c r="AD24" s="128"/>
      <c r="AE24" s="128"/>
      <c r="AF24" s="128"/>
      <c r="AG24" s="128" t="s">
        <v>587</v>
      </c>
      <c r="AH24" s="128" t="s">
        <v>138</v>
      </c>
      <c r="AI24" s="137">
        <v>505004930</v>
      </c>
      <c r="AJ24" s="128">
        <v>351466515</v>
      </c>
      <c r="AK24" s="138" t="s">
        <v>725</v>
      </c>
      <c r="AL24" s="138" t="s">
        <v>786</v>
      </c>
      <c r="AM24" s="138" t="s">
        <v>798</v>
      </c>
      <c r="AN24" s="138" t="s">
        <v>856</v>
      </c>
      <c r="AO24" s="138" t="s">
        <v>882</v>
      </c>
      <c r="AP24" s="139" t="s">
        <v>245</v>
      </c>
      <c r="AQ24" s="139">
        <f t="shared" si="3"/>
        <v>2007</v>
      </c>
      <c r="AR24" s="141" t="s">
        <v>1111</v>
      </c>
      <c r="AS24" s="141" t="s">
        <v>1112</v>
      </c>
      <c r="AT24" s="128" t="s">
        <v>1125</v>
      </c>
      <c r="AU24" s="212"/>
    </row>
    <row r="25" spans="1:47" s="118" customFormat="1" x14ac:dyDescent="0.25">
      <c r="A25" s="220"/>
      <c r="B25" s="225">
        <f>IF(F25&lt;&gt;0,MAX($B$8:B24)+1,"")</f>
        <v>18</v>
      </c>
      <c r="C25" s="132">
        <f>IF(F25="","",MAX($C$20:C24)+1)</f>
        <v>6</v>
      </c>
      <c r="D25" s="651" t="s">
        <v>355</v>
      </c>
      <c r="E25" s="128"/>
      <c r="F25" s="128" t="s">
        <v>925</v>
      </c>
      <c r="G25" s="134" t="s">
        <v>355</v>
      </c>
      <c r="H25" s="135"/>
      <c r="I25" s="135" t="s">
        <v>926</v>
      </c>
      <c r="J25" s="125">
        <f t="shared" si="0"/>
        <v>0</v>
      </c>
      <c r="K25" s="125">
        <f t="shared" si="1"/>
        <v>1977</v>
      </c>
      <c r="L25" s="136" t="s">
        <v>39</v>
      </c>
      <c r="M25" s="134"/>
      <c r="N25" s="136" t="s">
        <v>342</v>
      </c>
      <c r="O25" s="136" t="s">
        <v>1329</v>
      </c>
      <c r="P25" s="128" t="s">
        <v>382</v>
      </c>
      <c r="Q25" s="128" t="s">
        <v>288</v>
      </c>
      <c r="R25" s="128" t="s">
        <v>1330</v>
      </c>
      <c r="S25" s="128" t="s">
        <v>289</v>
      </c>
      <c r="T25" s="128" t="s">
        <v>1331</v>
      </c>
      <c r="U25" s="128" t="s">
        <v>556</v>
      </c>
      <c r="V25" s="128"/>
      <c r="W25" s="128" t="str">
        <f t="shared" si="4"/>
        <v>ĐHTX</v>
      </c>
      <c r="X25" s="128" t="s">
        <v>946</v>
      </c>
      <c r="Y25" s="128" t="s">
        <v>946</v>
      </c>
      <c r="Z25" s="128"/>
      <c r="AA25" s="128"/>
      <c r="AB25" s="128"/>
      <c r="AC25" s="128"/>
      <c r="AD25" s="128"/>
      <c r="AE25" s="128"/>
      <c r="AF25" s="128"/>
      <c r="AG25" s="128" t="s">
        <v>587</v>
      </c>
      <c r="AH25" s="128" t="s">
        <v>1332</v>
      </c>
      <c r="AI25" s="137">
        <v>5099036041</v>
      </c>
      <c r="AJ25" s="139">
        <v>351109006</v>
      </c>
      <c r="AK25" s="230" t="s">
        <v>1334</v>
      </c>
      <c r="AL25" s="230" t="s">
        <v>1333</v>
      </c>
      <c r="AM25" s="230" t="s">
        <v>1335</v>
      </c>
      <c r="AN25" s="230" t="s">
        <v>1336</v>
      </c>
      <c r="AO25" s="139"/>
      <c r="AP25" s="139"/>
      <c r="AQ25" s="139" t="str">
        <f t="shared" si="3"/>
        <v/>
      </c>
      <c r="AR25" s="128"/>
      <c r="AS25" s="128"/>
      <c r="AT25" s="642"/>
      <c r="AU25" s="212"/>
    </row>
    <row r="26" spans="1:47" s="118" customFormat="1" x14ac:dyDescent="0.25">
      <c r="A26" s="220"/>
      <c r="B26" s="225">
        <f>IF(F26&lt;&gt;0,MAX($B$8:B25)+1,"")</f>
        <v>19</v>
      </c>
      <c r="C26" s="132">
        <f>IF(F26="","",MAX($C$20:C25)+1)</f>
        <v>7</v>
      </c>
      <c r="D26" s="133">
        <v>1160</v>
      </c>
      <c r="E26" s="128"/>
      <c r="F26" s="128" t="s">
        <v>569</v>
      </c>
      <c r="G26" s="134"/>
      <c r="H26" s="135" t="s">
        <v>702</v>
      </c>
      <c r="I26" s="135"/>
      <c r="J26" s="125">
        <f t="shared" si="0"/>
        <v>1965</v>
      </c>
      <c r="K26" s="125">
        <f t="shared" si="1"/>
        <v>0</v>
      </c>
      <c r="L26" s="136" t="s">
        <v>39</v>
      </c>
      <c r="M26" s="134"/>
      <c r="N26" s="136" t="s">
        <v>352</v>
      </c>
      <c r="O26" s="136" t="s">
        <v>37</v>
      </c>
      <c r="P26" s="128" t="s">
        <v>1339</v>
      </c>
      <c r="Q26" s="128" t="s">
        <v>1340</v>
      </c>
      <c r="R26" s="128" t="s">
        <v>1341</v>
      </c>
      <c r="S26" s="128" t="s">
        <v>1342</v>
      </c>
      <c r="T26" s="642" t="s">
        <v>958</v>
      </c>
      <c r="U26" s="128" t="s">
        <v>1343</v>
      </c>
      <c r="V26" s="128"/>
      <c r="W26" s="128" t="str">
        <f t="shared" si="4"/>
        <v>ĐHTC</v>
      </c>
      <c r="X26" s="128" t="s">
        <v>946</v>
      </c>
      <c r="Y26" s="128" t="s">
        <v>946</v>
      </c>
      <c r="Z26" s="128"/>
      <c r="AA26" s="128" t="s">
        <v>560</v>
      </c>
      <c r="AB26" s="128" t="s">
        <v>137</v>
      </c>
      <c r="AC26" s="128" t="s">
        <v>1344</v>
      </c>
      <c r="AD26" s="128"/>
      <c r="AE26" s="128"/>
      <c r="AF26" s="128"/>
      <c r="AG26" s="128" t="s">
        <v>587</v>
      </c>
      <c r="AH26" s="128" t="s">
        <v>1345</v>
      </c>
      <c r="AI26" s="137">
        <v>5096004332</v>
      </c>
      <c r="AJ26" s="128">
        <v>351232585</v>
      </c>
      <c r="AK26" s="230" t="s">
        <v>1346</v>
      </c>
      <c r="AL26" s="641" t="s">
        <v>1348</v>
      </c>
      <c r="AM26" s="230" t="s">
        <v>1349</v>
      </c>
      <c r="AN26" s="230" t="s">
        <v>1347</v>
      </c>
      <c r="AO26" s="138" t="s">
        <v>915</v>
      </c>
      <c r="AP26" s="139" t="s">
        <v>1412</v>
      </c>
      <c r="AQ26" s="139">
        <f t="shared" si="3"/>
        <v>1997</v>
      </c>
      <c r="AR26" s="128"/>
      <c r="AS26" s="128"/>
      <c r="AT26" s="128" t="s">
        <v>1126</v>
      </c>
      <c r="AU26" s="212"/>
    </row>
    <row r="27" spans="1:47" s="118" customFormat="1" x14ac:dyDescent="0.25">
      <c r="A27" s="220"/>
      <c r="B27" s="439">
        <f>IF(F27&lt;&gt;0,MAX($B$8:B26)+1,"")</f>
        <v>20</v>
      </c>
      <c r="C27" s="132">
        <f>IF(F27="","",MAX($C$20:C26)+1)</f>
        <v>8</v>
      </c>
      <c r="D27" s="133">
        <v>1207</v>
      </c>
      <c r="E27" s="128"/>
      <c r="F27" s="128" t="s">
        <v>125</v>
      </c>
      <c r="G27" s="134"/>
      <c r="H27" s="138" t="s">
        <v>651</v>
      </c>
      <c r="I27" s="138"/>
      <c r="J27" s="125">
        <f t="shared" si="0"/>
        <v>1964</v>
      </c>
      <c r="K27" s="125">
        <f t="shared" si="1"/>
        <v>0</v>
      </c>
      <c r="L27" s="136" t="s">
        <v>39</v>
      </c>
      <c r="M27" s="134"/>
      <c r="N27" s="136" t="s">
        <v>355</v>
      </c>
      <c r="O27" s="136" t="s">
        <v>37</v>
      </c>
      <c r="P27" s="128" t="s">
        <v>339</v>
      </c>
      <c r="Q27" s="128" t="s">
        <v>301</v>
      </c>
      <c r="R27" s="128" t="s">
        <v>390</v>
      </c>
      <c r="S27" s="128" t="s">
        <v>1361</v>
      </c>
      <c r="T27" s="128" t="s">
        <v>318</v>
      </c>
      <c r="U27" s="128" t="s">
        <v>307</v>
      </c>
      <c r="V27" s="128"/>
      <c r="W27" s="128" t="str">
        <f t="shared" si="4"/>
        <v>ĐHTX</v>
      </c>
      <c r="X27" s="128" t="s">
        <v>946</v>
      </c>
      <c r="Y27" s="128" t="s">
        <v>946</v>
      </c>
      <c r="Z27" s="128"/>
      <c r="AA27" s="128"/>
      <c r="AB27" s="128" t="s">
        <v>134</v>
      </c>
      <c r="AC27" s="128"/>
      <c r="AD27" s="128"/>
      <c r="AE27" s="128"/>
      <c r="AF27" s="128"/>
      <c r="AG27" s="128" t="s">
        <v>587</v>
      </c>
      <c r="AH27" s="128"/>
      <c r="AI27" s="137">
        <v>5096017258</v>
      </c>
      <c r="AJ27" s="128">
        <v>350533799</v>
      </c>
      <c r="AK27" s="138" t="s">
        <v>710</v>
      </c>
      <c r="AL27" s="641" t="s">
        <v>782</v>
      </c>
      <c r="AM27" s="138" t="s">
        <v>815</v>
      </c>
      <c r="AN27" s="138" t="s">
        <v>852</v>
      </c>
      <c r="AO27" s="139"/>
      <c r="AP27" s="139"/>
      <c r="AQ27" s="139" t="str">
        <f t="shared" si="3"/>
        <v/>
      </c>
      <c r="AR27" s="128"/>
      <c r="AS27" s="128"/>
      <c r="AT27" s="128" t="s">
        <v>1127</v>
      </c>
      <c r="AU27" s="212"/>
    </row>
    <row r="28" spans="1:47" s="118" customFormat="1" x14ac:dyDescent="0.25">
      <c r="A28" s="220"/>
      <c r="B28" s="225">
        <f>IF(F28&lt;&gt;0,MAX($B$8:B27)+1,"")</f>
        <v>21</v>
      </c>
      <c r="C28" s="132">
        <f>IF(F28="","",MAX($C$20:C27)+1)</f>
        <v>9</v>
      </c>
      <c r="D28" s="133">
        <v>1231</v>
      </c>
      <c r="E28" s="128"/>
      <c r="F28" s="128" t="s">
        <v>126</v>
      </c>
      <c r="G28" s="134" t="s">
        <v>355</v>
      </c>
      <c r="H28" s="135"/>
      <c r="I28" s="135" t="s">
        <v>652</v>
      </c>
      <c r="J28" s="125">
        <f t="shared" si="0"/>
        <v>0</v>
      </c>
      <c r="K28" s="125">
        <f t="shared" si="1"/>
        <v>1969</v>
      </c>
      <c r="L28" s="136" t="s">
        <v>39</v>
      </c>
      <c r="M28" s="134"/>
      <c r="N28" s="136" t="s">
        <v>352</v>
      </c>
      <c r="O28" s="136" t="s">
        <v>37</v>
      </c>
      <c r="P28" s="128" t="s">
        <v>382</v>
      </c>
      <c r="Q28" s="128" t="s">
        <v>301</v>
      </c>
      <c r="R28" s="128" t="s">
        <v>384</v>
      </c>
      <c r="S28" s="128" t="s">
        <v>273</v>
      </c>
      <c r="T28" s="128" t="s">
        <v>275</v>
      </c>
      <c r="U28" s="128" t="s">
        <v>276</v>
      </c>
      <c r="V28" s="128" t="s">
        <v>274</v>
      </c>
      <c r="W28" s="128" t="s">
        <v>514</v>
      </c>
      <c r="X28" s="128" t="s">
        <v>946</v>
      </c>
      <c r="Y28" s="128" t="s">
        <v>1012</v>
      </c>
      <c r="Z28" s="128"/>
      <c r="AA28" s="128"/>
      <c r="AB28" s="128" t="s">
        <v>137</v>
      </c>
      <c r="AC28" s="128"/>
      <c r="AD28" s="128"/>
      <c r="AE28" s="128"/>
      <c r="AF28" s="128"/>
      <c r="AG28" s="128" t="s">
        <v>587</v>
      </c>
      <c r="AH28" s="128" t="s">
        <v>135</v>
      </c>
      <c r="AI28" s="137">
        <v>5096017242</v>
      </c>
      <c r="AJ28" s="128">
        <v>350828493</v>
      </c>
      <c r="AK28" s="138" t="s">
        <v>721</v>
      </c>
      <c r="AL28" s="138" t="s">
        <v>783</v>
      </c>
      <c r="AM28" s="138" t="s">
        <v>816</v>
      </c>
      <c r="AN28" s="138" t="s">
        <v>853</v>
      </c>
      <c r="AO28" s="138" t="s">
        <v>879</v>
      </c>
      <c r="AP28" s="139" t="s">
        <v>277</v>
      </c>
      <c r="AQ28" s="139">
        <f t="shared" si="3"/>
        <v>2007</v>
      </c>
      <c r="AR28" s="354" t="s">
        <v>1094</v>
      </c>
      <c r="AS28" s="128"/>
      <c r="AT28" s="128" t="s">
        <v>1128</v>
      </c>
      <c r="AU28" s="212"/>
    </row>
    <row r="29" spans="1:47" s="118" customFormat="1" x14ac:dyDescent="0.25">
      <c r="A29" s="220"/>
      <c r="B29" s="439">
        <f>IF(F29&lt;&gt;0,MAX($B$8:B28)+1,"")</f>
        <v>22</v>
      </c>
      <c r="C29" s="132">
        <f>IF(F29="","",MAX($C$20:C28)+1)</f>
        <v>10</v>
      </c>
      <c r="D29" s="133">
        <v>1223</v>
      </c>
      <c r="E29" s="128" t="s">
        <v>1377</v>
      </c>
      <c r="F29" s="128" t="s">
        <v>78</v>
      </c>
      <c r="G29" s="134" t="s">
        <v>355</v>
      </c>
      <c r="H29" s="135"/>
      <c r="I29" s="135" t="s">
        <v>655</v>
      </c>
      <c r="J29" s="125">
        <f t="shared" si="0"/>
        <v>0</v>
      </c>
      <c r="K29" s="125">
        <f t="shared" si="1"/>
        <v>1968</v>
      </c>
      <c r="L29" s="136" t="s">
        <v>39</v>
      </c>
      <c r="M29" s="134"/>
      <c r="N29" s="136" t="s">
        <v>355</v>
      </c>
      <c r="O29" s="136" t="s">
        <v>350</v>
      </c>
      <c r="P29" s="128" t="s">
        <v>388</v>
      </c>
      <c r="Q29" s="128" t="s">
        <v>314</v>
      </c>
      <c r="R29" s="128" t="s">
        <v>389</v>
      </c>
      <c r="S29" s="128" t="s">
        <v>265</v>
      </c>
      <c r="T29" s="128" t="s">
        <v>266</v>
      </c>
      <c r="U29" s="128" t="s">
        <v>276</v>
      </c>
      <c r="V29" s="128"/>
      <c r="W29" s="128" t="str">
        <f>IF(AND(T29&lt;&gt;"",U29="",V29=""),LEFT(T29,4),IF(AND(T29&lt;&gt;"",U29&lt;&gt;"",V29=""),LEFT(U29,4),LEFT(V29,4)))</f>
        <v>ĐHTX</v>
      </c>
      <c r="X29" s="128" t="s">
        <v>946</v>
      </c>
      <c r="Y29" s="128" t="s">
        <v>946</v>
      </c>
      <c r="Z29" s="128"/>
      <c r="AA29" s="128"/>
      <c r="AB29" s="189" t="s">
        <v>137</v>
      </c>
      <c r="AC29" s="128"/>
      <c r="AD29" s="128"/>
      <c r="AE29" s="128"/>
      <c r="AF29" s="128"/>
      <c r="AG29" s="128" t="s">
        <v>587</v>
      </c>
      <c r="AH29" s="128" t="s">
        <v>135</v>
      </c>
      <c r="AI29" s="137">
        <v>5096017230</v>
      </c>
      <c r="AJ29" s="128">
        <v>352063886</v>
      </c>
      <c r="AK29" s="138" t="s">
        <v>724</v>
      </c>
      <c r="AL29" s="138" t="s">
        <v>785</v>
      </c>
      <c r="AM29" s="138" t="s">
        <v>794</v>
      </c>
      <c r="AN29" s="138" t="s">
        <v>827</v>
      </c>
      <c r="AO29" s="138" t="s">
        <v>881</v>
      </c>
      <c r="AP29" s="139" t="s">
        <v>264</v>
      </c>
      <c r="AQ29" s="139">
        <f t="shared" si="3"/>
        <v>2005</v>
      </c>
      <c r="AR29" s="128"/>
      <c r="AS29" s="128"/>
      <c r="AT29" s="128" t="s">
        <v>1129</v>
      </c>
      <c r="AU29" s="212"/>
    </row>
    <row r="30" spans="1:47" s="118" customFormat="1" x14ac:dyDescent="0.25">
      <c r="A30" s="220"/>
      <c r="B30" s="128">
        <f>IF(F30&lt;&gt;0,MAX($B$8:B29)+1,"")</f>
        <v>23</v>
      </c>
      <c r="C30" s="132">
        <f>IF(F30="","",MAX($C$20:C29)+1)</f>
        <v>11</v>
      </c>
      <c r="D30" s="133">
        <v>1219</v>
      </c>
      <c r="E30" s="128"/>
      <c r="F30" s="128" t="s">
        <v>75</v>
      </c>
      <c r="G30" s="134"/>
      <c r="H30" s="138" t="s">
        <v>650</v>
      </c>
      <c r="I30" s="138"/>
      <c r="J30" s="125">
        <f t="shared" si="0"/>
        <v>1960</v>
      </c>
      <c r="K30" s="125">
        <f t="shared" si="1"/>
        <v>0</v>
      </c>
      <c r="L30" s="136" t="s">
        <v>39</v>
      </c>
      <c r="M30" s="134"/>
      <c r="N30" s="136" t="s">
        <v>342</v>
      </c>
      <c r="O30" s="136" t="s">
        <v>364</v>
      </c>
      <c r="P30" s="128" t="s">
        <v>316</v>
      </c>
      <c r="Q30" s="128" t="s">
        <v>316</v>
      </c>
      <c r="R30" s="128" t="s">
        <v>393</v>
      </c>
      <c r="S30" s="128" t="s">
        <v>394</v>
      </c>
      <c r="T30" s="128" t="s">
        <v>396</v>
      </c>
      <c r="U30" s="128" t="s">
        <v>395</v>
      </c>
      <c r="V30" s="128" t="s">
        <v>319</v>
      </c>
      <c r="W30" s="128" t="s">
        <v>514</v>
      </c>
      <c r="X30" s="128" t="s">
        <v>946</v>
      </c>
      <c r="Y30" s="128" t="s">
        <v>946</v>
      </c>
      <c r="Z30" s="128" t="s">
        <v>307</v>
      </c>
      <c r="AA30" s="128"/>
      <c r="AB30" s="128" t="s">
        <v>235</v>
      </c>
      <c r="AC30" s="128"/>
      <c r="AD30" s="128"/>
      <c r="AE30" s="128"/>
      <c r="AF30" s="128"/>
      <c r="AG30" s="128" t="s">
        <v>587</v>
      </c>
      <c r="AH30" s="128" t="s">
        <v>157</v>
      </c>
      <c r="AI30" s="137">
        <v>5096017234</v>
      </c>
      <c r="AJ30" s="128">
        <v>350610513</v>
      </c>
      <c r="AK30" s="138" t="s">
        <v>720</v>
      </c>
      <c r="AL30" s="138" t="s">
        <v>781</v>
      </c>
      <c r="AM30" s="138" t="s">
        <v>814</v>
      </c>
      <c r="AN30" s="138" t="s">
        <v>851</v>
      </c>
      <c r="AO30" s="138" t="s">
        <v>878</v>
      </c>
      <c r="AP30" s="139" t="s">
        <v>272</v>
      </c>
      <c r="AQ30" s="139">
        <f t="shared" si="3"/>
        <v>2010</v>
      </c>
      <c r="AR30" s="128"/>
      <c r="AS30" s="128"/>
      <c r="AT30" s="128" t="s">
        <v>1130</v>
      </c>
      <c r="AU30" s="212"/>
    </row>
    <row r="31" spans="1:47" s="118" customFormat="1" x14ac:dyDescent="0.25">
      <c r="A31" s="220"/>
      <c r="B31" s="439">
        <f>IF(F31&lt;&gt;0,MAX($B$8:B30)+1,"")</f>
        <v>24</v>
      </c>
      <c r="C31" s="132">
        <f>IF(F31="","",MAX($C$20:C30)+1)</f>
        <v>12</v>
      </c>
      <c r="D31" s="133">
        <v>1237</v>
      </c>
      <c r="E31" s="128"/>
      <c r="F31" s="128" t="s">
        <v>76</v>
      </c>
      <c r="G31" s="134" t="s">
        <v>355</v>
      </c>
      <c r="H31" s="135"/>
      <c r="I31" s="135" t="s">
        <v>653</v>
      </c>
      <c r="J31" s="125">
        <f t="shared" si="0"/>
        <v>0</v>
      </c>
      <c r="K31" s="125">
        <f t="shared" si="1"/>
        <v>1965</v>
      </c>
      <c r="L31" s="136" t="s">
        <v>39</v>
      </c>
      <c r="M31" s="134"/>
      <c r="N31" s="136" t="s">
        <v>342</v>
      </c>
      <c r="O31" s="136" t="s">
        <v>37</v>
      </c>
      <c r="P31" s="128" t="s">
        <v>381</v>
      </c>
      <c r="Q31" s="128" t="s">
        <v>317</v>
      </c>
      <c r="R31" s="128" t="s">
        <v>380</v>
      </c>
      <c r="S31" s="128" t="s">
        <v>243</v>
      </c>
      <c r="T31" s="128" t="s">
        <v>268</v>
      </c>
      <c r="U31" s="128" t="s">
        <v>558</v>
      </c>
      <c r="V31" s="128"/>
      <c r="W31" s="128" t="str">
        <f t="shared" si="2"/>
        <v>ĐHTX</v>
      </c>
      <c r="X31" s="128" t="s">
        <v>946</v>
      </c>
      <c r="Y31" s="128" t="s">
        <v>946</v>
      </c>
      <c r="Z31" s="128"/>
      <c r="AA31" s="128"/>
      <c r="AB31" s="128" t="s">
        <v>148</v>
      </c>
      <c r="AC31" s="128"/>
      <c r="AD31" s="128"/>
      <c r="AE31" s="128"/>
      <c r="AF31" s="128"/>
      <c r="AG31" s="128" t="s">
        <v>587</v>
      </c>
      <c r="AH31" s="128" t="s">
        <v>147</v>
      </c>
      <c r="AI31" s="137">
        <v>5096017039</v>
      </c>
      <c r="AJ31" s="128">
        <v>350725979</v>
      </c>
      <c r="AK31" s="138" t="s">
        <v>722</v>
      </c>
      <c r="AL31" s="138" t="s">
        <v>783</v>
      </c>
      <c r="AM31" s="138" t="s">
        <v>817</v>
      </c>
      <c r="AN31" s="138" t="s">
        <v>854</v>
      </c>
      <c r="AO31" s="138" t="s">
        <v>586</v>
      </c>
      <c r="AP31" s="139" t="s">
        <v>271</v>
      </c>
      <c r="AQ31" s="139">
        <f t="shared" si="3"/>
        <v>2005</v>
      </c>
      <c r="AR31" s="128"/>
      <c r="AS31" s="128"/>
      <c r="AT31" s="128" t="s">
        <v>1131</v>
      </c>
      <c r="AU31" s="212"/>
    </row>
    <row r="32" spans="1:47" s="118" customFormat="1" x14ac:dyDescent="0.25">
      <c r="A32" s="220"/>
      <c r="B32" s="128">
        <f>IF(F32&lt;&gt;0,MAX($B$8:B31)+1,"")</f>
        <v>25</v>
      </c>
      <c r="C32" s="132">
        <f>IF(F32="","",MAX($C$20:C31)+1)</f>
        <v>13</v>
      </c>
      <c r="D32" s="133">
        <v>1209</v>
      </c>
      <c r="E32" s="128" t="s">
        <v>1186</v>
      </c>
      <c r="F32" s="128" t="s">
        <v>77</v>
      </c>
      <c r="G32" s="134"/>
      <c r="H32" s="138" t="s">
        <v>654</v>
      </c>
      <c r="I32" s="138"/>
      <c r="J32" s="125">
        <f t="shared" si="0"/>
        <v>1964</v>
      </c>
      <c r="K32" s="125">
        <f t="shared" si="1"/>
        <v>0</v>
      </c>
      <c r="L32" s="136" t="s">
        <v>39</v>
      </c>
      <c r="M32" s="134"/>
      <c r="N32" s="136" t="s">
        <v>355</v>
      </c>
      <c r="O32" s="136" t="s">
        <v>37</v>
      </c>
      <c r="P32" s="128" t="s">
        <v>334</v>
      </c>
      <c r="Q32" s="128" t="s">
        <v>302</v>
      </c>
      <c r="R32" s="128" t="s">
        <v>380</v>
      </c>
      <c r="S32" s="128" t="s">
        <v>270</v>
      </c>
      <c r="T32" s="128" t="s">
        <v>268</v>
      </c>
      <c r="U32" s="128" t="s">
        <v>269</v>
      </c>
      <c r="V32" s="128"/>
      <c r="W32" s="128" t="str">
        <f t="shared" si="2"/>
        <v>ĐHTX</v>
      </c>
      <c r="X32" s="128" t="s">
        <v>946</v>
      </c>
      <c r="Y32" s="128" t="s">
        <v>1012</v>
      </c>
      <c r="Z32" s="128"/>
      <c r="AA32" s="128" t="s">
        <v>560</v>
      </c>
      <c r="AB32" s="128" t="s">
        <v>148</v>
      </c>
      <c r="AC32" s="128"/>
      <c r="AD32" s="128"/>
      <c r="AE32" s="128"/>
      <c r="AF32" s="128"/>
      <c r="AG32" s="128" t="s">
        <v>587</v>
      </c>
      <c r="AH32" s="128" t="s">
        <v>201</v>
      </c>
      <c r="AI32" s="137">
        <v>5096017223</v>
      </c>
      <c r="AJ32" s="128">
        <v>350473416</v>
      </c>
      <c r="AK32" s="138" t="s">
        <v>723</v>
      </c>
      <c r="AL32" s="138" t="s">
        <v>784</v>
      </c>
      <c r="AM32" s="138" t="s">
        <v>818</v>
      </c>
      <c r="AN32" s="138" t="s">
        <v>855</v>
      </c>
      <c r="AO32" s="138" t="s">
        <v>880</v>
      </c>
      <c r="AP32" s="139" t="s">
        <v>267</v>
      </c>
      <c r="AQ32" s="139">
        <f t="shared" si="3"/>
        <v>1999</v>
      </c>
      <c r="AR32" s="128"/>
      <c r="AS32" s="128"/>
      <c r="AT32" s="128" t="s">
        <v>1132</v>
      </c>
      <c r="AU32" s="212"/>
    </row>
    <row r="33" spans="1:47" s="661" customFormat="1" x14ac:dyDescent="0.25">
      <c r="A33" s="653"/>
      <c r="B33" s="650">
        <f>IF(F33&lt;&gt;0,MAX($B$8:B32)+1,"")</f>
        <v>26</v>
      </c>
      <c r="C33" s="650">
        <f>IF(F33="","",MAX($C$20:C32)+1)</f>
        <v>14</v>
      </c>
      <c r="D33" s="652" t="s">
        <v>355</v>
      </c>
      <c r="E33" s="650" t="s">
        <v>1378</v>
      </c>
      <c r="F33" s="650" t="s">
        <v>567</v>
      </c>
      <c r="G33" s="654" t="s">
        <v>355</v>
      </c>
      <c r="H33" s="655"/>
      <c r="I33" s="656" t="s">
        <v>1379</v>
      </c>
      <c r="J33" s="657">
        <f t="shared" si="0"/>
        <v>0</v>
      </c>
      <c r="K33" s="657">
        <f t="shared" si="1"/>
        <v>1964</v>
      </c>
      <c r="L33" s="658" t="s">
        <v>39</v>
      </c>
      <c r="M33" s="654"/>
      <c r="N33" s="658" t="s">
        <v>342</v>
      </c>
      <c r="O33" s="658" t="s">
        <v>37</v>
      </c>
      <c r="P33" s="650" t="s">
        <v>334</v>
      </c>
      <c r="Q33" s="650" t="s">
        <v>302</v>
      </c>
      <c r="R33" s="650" t="s">
        <v>494</v>
      </c>
      <c r="S33" s="650" t="s">
        <v>243</v>
      </c>
      <c r="T33" s="650" t="s">
        <v>1380</v>
      </c>
      <c r="U33" s="650" t="s">
        <v>1381</v>
      </c>
      <c r="V33" s="650"/>
      <c r="W33" s="650" t="str">
        <f t="shared" si="2"/>
        <v>ĐHTC</v>
      </c>
      <c r="X33" s="642" t="s">
        <v>946</v>
      </c>
      <c r="Y33" s="642" t="s">
        <v>946</v>
      </c>
      <c r="Z33" s="650"/>
      <c r="AA33" s="650"/>
      <c r="AB33" s="650" t="s">
        <v>202</v>
      </c>
      <c r="AC33" s="650"/>
      <c r="AD33" s="650"/>
      <c r="AE33" s="650"/>
      <c r="AF33" s="650"/>
      <c r="AG33" s="650" t="s">
        <v>587</v>
      </c>
      <c r="AH33" s="650"/>
      <c r="AI33" s="659">
        <v>5096017245</v>
      </c>
      <c r="AJ33" s="650">
        <v>350473774</v>
      </c>
      <c r="AK33" s="699" t="s">
        <v>1382</v>
      </c>
      <c r="AL33" s="699" t="s">
        <v>1383</v>
      </c>
      <c r="AM33" s="699" t="s">
        <v>826</v>
      </c>
      <c r="AN33" s="699" t="s">
        <v>845</v>
      </c>
      <c r="AO33" s="699" t="s">
        <v>1384</v>
      </c>
      <c r="AP33" s="655"/>
      <c r="AQ33" s="655">
        <f t="shared" si="3"/>
        <v>2008</v>
      </c>
      <c r="AR33" s="650"/>
      <c r="AS33" s="650"/>
      <c r="AT33" s="650"/>
      <c r="AU33" s="660"/>
    </row>
    <row r="34" spans="1:47" x14ac:dyDescent="0.25">
      <c r="A34" s="220"/>
      <c r="B34" s="399">
        <f>IF(F34&lt;&gt;0,MAX($B$8:B33)+1,"")</f>
        <v>27</v>
      </c>
      <c r="C34" s="152">
        <f>IF(F34="","",1)</f>
        <v>1</v>
      </c>
      <c r="D34" s="153">
        <v>39240</v>
      </c>
      <c r="E34" s="151"/>
      <c r="F34" s="151" t="s">
        <v>80</v>
      </c>
      <c r="G34" s="154"/>
      <c r="H34" s="155" t="s">
        <v>657</v>
      </c>
      <c r="I34" s="155"/>
      <c r="J34" s="156">
        <f t="shared" si="0"/>
        <v>1986</v>
      </c>
      <c r="K34" s="156">
        <f t="shared" si="1"/>
        <v>0</v>
      </c>
      <c r="L34" s="228" t="s">
        <v>39</v>
      </c>
      <c r="M34" s="154"/>
      <c r="N34" s="157"/>
      <c r="O34" s="157" t="s">
        <v>37</v>
      </c>
      <c r="P34" s="151" t="s">
        <v>334</v>
      </c>
      <c r="Q34" s="151" t="s">
        <v>302</v>
      </c>
      <c r="R34" s="151" t="s">
        <v>1098</v>
      </c>
      <c r="S34" s="151" t="s">
        <v>200</v>
      </c>
      <c r="T34" s="151" t="s">
        <v>552</v>
      </c>
      <c r="U34" s="151"/>
      <c r="V34" s="151"/>
      <c r="W34" s="151" t="str">
        <f t="shared" si="2"/>
        <v>ĐHCQ</v>
      </c>
      <c r="X34" s="151" t="s">
        <v>948</v>
      </c>
      <c r="Y34" s="151" t="s">
        <v>948</v>
      </c>
      <c r="Z34" s="151" t="s">
        <v>1084</v>
      </c>
      <c r="AA34" s="151" t="s">
        <v>636</v>
      </c>
      <c r="AB34" s="151" t="s">
        <v>211</v>
      </c>
      <c r="AC34" s="151" t="s">
        <v>196</v>
      </c>
      <c r="AD34" s="151"/>
      <c r="AE34" s="151"/>
      <c r="AF34" s="151"/>
      <c r="AG34" s="151" t="s">
        <v>587</v>
      </c>
      <c r="AH34" s="151" t="s">
        <v>212</v>
      </c>
      <c r="AI34" s="159">
        <v>8911005621</v>
      </c>
      <c r="AJ34" s="151">
        <v>351803204</v>
      </c>
      <c r="AK34" s="155" t="s">
        <v>1099</v>
      </c>
      <c r="AL34" s="155" t="s">
        <v>787</v>
      </c>
      <c r="AM34" s="155" t="s">
        <v>787</v>
      </c>
      <c r="AN34" s="155" t="s">
        <v>789</v>
      </c>
      <c r="AO34" s="155" t="s">
        <v>890</v>
      </c>
      <c r="AP34" s="647" t="s">
        <v>1351</v>
      </c>
      <c r="AQ34" s="160">
        <f t="shared" si="3"/>
        <v>2015</v>
      </c>
      <c r="AR34" s="161" t="s">
        <v>1100</v>
      </c>
      <c r="AS34" s="161" t="s">
        <v>1101</v>
      </c>
      <c r="AT34" s="151" t="s">
        <v>1133</v>
      </c>
      <c r="AU34" s="212"/>
    </row>
    <row r="35" spans="1:47" x14ac:dyDescent="0.25">
      <c r="A35" s="220"/>
      <c r="B35" s="162">
        <f>IF(F35&lt;&gt;0,MAX($B$8:B34)+1,"")</f>
        <v>28</v>
      </c>
      <c r="C35" s="163">
        <f>IF(F35="","",MAX($C$34:C34)+1)</f>
        <v>2</v>
      </c>
      <c r="D35" s="164">
        <v>31255</v>
      </c>
      <c r="E35" s="162"/>
      <c r="F35" s="162" t="s">
        <v>81</v>
      </c>
      <c r="G35" s="165" t="s">
        <v>355</v>
      </c>
      <c r="H35" s="192"/>
      <c r="I35" s="192" t="s">
        <v>658</v>
      </c>
      <c r="J35" s="167">
        <f t="shared" si="0"/>
        <v>0</v>
      </c>
      <c r="K35" s="167">
        <f t="shared" si="1"/>
        <v>1986</v>
      </c>
      <c r="L35" s="168" t="s">
        <v>39</v>
      </c>
      <c r="M35" s="165"/>
      <c r="N35" s="168" t="s">
        <v>352</v>
      </c>
      <c r="O35" s="168" t="s">
        <v>37</v>
      </c>
      <c r="P35" s="162" t="s">
        <v>334</v>
      </c>
      <c r="Q35" s="162" t="s">
        <v>302</v>
      </c>
      <c r="R35" s="162" t="s">
        <v>411</v>
      </c>
      <c r="S35" s="162" t="s">
        <v>200</v>
      </c>
      <c r="T35" s="162" t="s">
        <v>204</v>
      </c>
      <c r="U35" s="162" t="s">
        <v>205</v>
      </c>
      <c r="V35" s="162"/>
      <c r="W35" s="162" t="str">
        <f t="shared" si="2"/>
        <v>ĐHTX</v>
      </c>
      <c r="X35" s="162" t="s">
        <v>948</v>
      </c>
      <c r="Y35" s="162" t="s">
        <v>948</v>
      </c>
      <c r="Z35" s="162"/>
      <c r="AA35" s="162" t="s">
        <v>636</v>
      </c>
      <c r="AB35" s="162" t="s">
        <v>202</v>
      </c>
      <c r="AC35" s="162" t="s">
        <v>203</v>
      </c>
      <c r="AD35" s="162"/>
      <c r="AE35" s="162"/>
      <c r="AF35" s="162"/>
      <c r="AG35" s="162" t="s">
        <v>587</v>
      </c>
      <c r="AH35" s="162" t="s">
        <v>201</v>
      </c>
      <c r="AI35" s="170">
        <v>8909003924</v>
      </c>
      <c r="AJ35" s="162">
        <v>351782248</v>
      </c>
      <c r="AK35" s="166" t="s">
        <v>726</v>
      </c>
      <c r="AL35" s="166" t="s">
        <v>788</v>
      </c>
      <c r="AM35" s="166" t="s">
        <v>819</v>
      </c>
      <c r="AN35" s="166" t="s">
        <v>771</v>
      </c>
      <c r="AO35" s="166" t="s">
        <v>883</v>
      </c>
      <c r="AP35" s="171" t="s">
        <v>206</v>
      </c>
      <c r="AQ35" s="171">
        <f t="shared" si="3"/>
        <v>2010</v>
      </c>
      <c r="AR35" s="162"/>
      <c r="AS35" s="162"/>
      <c r="AT35" s="162" t="s">
        <v>1134</v>
      </c>
      <c r="AU35" s="212"/>
    </row>
    <row r="36" spans="1:47" x14ac:dyDescent="0.25">
      <c r="A36" s="220"/>
      <c r="B36" s="224">
        <f>IF(F36&lt;&gt;0,MAX($B$8:B35)+1,"")</f>
        <v>29</v>
      </c>
      <c r="C36" s="163">
        <f>IF(F36="","",MAX($C$34:C35)+1)</f>
        <v>3</v>
      </c>
      <c r="D36" s="164" t="s">
        <v>355</v>
      </c>
      <c r="E36" s="162"/>
      <c r="F36" s="162" t="s">
        <v>128</v>
      </c>
      <c r="G36" s="165" t="s">
        <v>355</v>
      </c>
      <c r="H36" s="192"/>
      <c r="I36" s="192" t="s">
        <v>659</v>
      </c>
      <c r="J36" s="167">
        <f t="shared" si="0"/>
        <v>0</v>
      </c>
      <c r="K36" s="167">
        <f t="shared" si="1"/>
        <v>1988</v>
      </c>
      <c r="L36" s="168" t="s">
        <v>39</v>
      </c>
      <c r="M36" s="165"/>
      <c r="N36" s="168" t="s">
        <v>342</v>
      </c>
      <c r="O36" s="168" t="s">
        <v>412</v>
      </c>
      <c r="P36" s="162" t="s">
        <v>413</v>
      </c>
      <c r="Q36" s="162" t="s">
        <v>1027</v>
      </c>
      <c r="R36" s="162" t="s">
        <v>1028</v>
      </c>
      <c r="S36" s="162" t="s">
        <v>329</v>
      </c>
      <c r="T36" s="162" t="s">
        <v>330</v>
      </c>
      <c r="U36" s="162"/>
      <c r="V36" s="162"/>
      <c r="W36" s="162" t="str">
        <f t="shared" si="2"/>
        <v>ĐHCQ</v>
      </c>
      <c r="X36" s="162" t="s">
        <v>949</v>
      </c>
      <c r="Y36" s="162" t="s">
        <v>949</v>
      </c>
      <c r="Z36" s="162"/>
      <c r="AA36" s="162"/>
      <c r="AB36" s="162" t="s">
        <v>328</v>
      </c>
      <c r="AC36" s="162" t="s">
        <v>327</v>
      </c>
      <c r="AD36" s="162"/>
      <c r="AE36" s="162"/>
      <c r="AF36" s="162"/>
      <c r="AG36" s="162" t="s">
        <v>587</v>
      </c>
      <c r="AH36" s="162" t="s">
        <v>982</v>
      </c>
      <c r="AI36" s="170">
        <v>8913010611</v>
      </c>
      <c r="AJ36" s="162">
        <v>351907003</v>
      </c>
      <c r="AK36" s="166" t="s">
        <v>727</v>
      </c>
      <c r="AL36" s="166" t="s">
        <v>789</v>
      </c>
      <c r="AM36" s="166" t="s">
        <v>789</v>
      </c>
      <c r="AN36" s="166" t="s">
        <v>770</v>
      </c>
      <c r="AO36" s="171"/>
      <c r="AP36" s="171"/>
      <c r="AQ36" s="171" t="str">
        <f t="shared" si="3"/>
        <v/>
      </c>
      <c r="AR36" s="172" t="s">
        <v>1029</v>
      </c>
      <c r="AS36" s="162"/>
      <c r="AT36" s="162" t="s">
        <v>1135</v>
      </c>
      <c r="AU36" s="212"/>
    </row>
    <row r="37" spans="1:47" x14ac:dyDescent="0.25">
      <c r="A37" s="220"/>
      <c r="B37" s="224">
        <f>IF(F37&lt;&gt;0,MAX($B$8:B36)+1,"")</f>
        <v>30</v>
      </c>
      <c r="C37" s="163">
        <f>IF(F37="","",MAX($C$34:C36)+1)</f>
        <v>4</v>
      </c>
      <c r="D37" s="164">
        <v>1287</v>
      </c>
      <c r="E37" s="162"/>
      <c r="F37" s="162" t="s">
        <v>82</v>
      </c>
      <c r="G37" s="165" t="s">
        <v>355</v>
      </c>
      <c r="H37" s="192"/>
      <c r="I37" s="192" t="s">
        <v>635</v>
      </c>
      <c r="J37" s="167">
        <f t="shared" si="0"/>
        <v>0</v>
      </c>
      <c r="K37" s="167">
        <f t="shared" si="1"/>
        <v>1965</v>
      </c>
      <c r="L37" s="168" t="s">
        <v>39</v>
      </c>
      <c r="M37" s="165"/>
      <c r="N37" s="168" t="s">
        <v>342</v>
      </c>
      <c r="O37" s="168" t="s">
        <v>402</v>
      </c>
      <c r="P37" s="162" t="s">
        <v>403</v>
      </c>
      <c r="Q37" s="162" t="s">
        <v>320</v>
      </c>
      <c r="R37" s="162" t="s">
        <v>404</v>
      </c>
      <c r="S37" s="162" t="s">
        <v>321</v>
      </c>
      <c r="T37" s="162" t="s">
        <v>322</v>
      </c>
      <c r="U37" s="162" t="s">
        <v>326</v>
      </c>
      <c r="V37" s="162"/>
      <c r="W37" s="162" t="str">
        <f t="shared" si="2"/>
        <v>ĐHTX</v>
      </c>
      <c r="X37" s="162" t="s">
        <v>948</v>
      </c>
      <c r="Y37" s="162" t="s">
        <v>948</v>
      </c>
      <c r="Z37" s="162"/>
      <c r="AA37" s="162"/>
      <c r="AB37" s="162" t="s">
        <v>202</v>
      </c>
      <c r="AC37" s="162"/>
      <c r="AD37" s="162"/>
      <c r="AE37" s="162"/>
      <c r="AF37" s="162"/>
      <c r="AG37" s="162" t="s">
        <v>587</v>
      </c>
      <c r="AH37" s="162"/>
      <c r="AI37" s="170">
        <v>5096011904</v>
      </c>
      <c r="AJ37" s="162">
        <v>350646446</v>
      </c>
      <c r="AK37" s="166" t="s">
        <v>728</v>
      </c>
      <c r="AL37" s="166" t="s">
        <v>783</v>
      </c>
      <c r="AM37" s="166" t="s">
        <v>820</v>
      </c>
      <c r="AN37" s="166" t="s">
        <v>827</v>
      </c>
      <c r="AO37" s="171"/>
      <c r="AP37" s="171"/>
      <c r="AQ37" s="171" t="str">
        <f t="shared" si="3"/>
        <v/>
      </c>
      <c r="AR37" s="162"/>
      <c r="AS37" s="162"/>
      <c r="AT37" s="162" t="s">
        <v>1136</v>
      </c>
      <c r="AU37" s="212"/>
    </row>
    <row r="38" spans="1:47" x14ac:dyDescent="0.25">
      <c r="A38" s="220"/>
      <c r="B38" s="224">
        <f>IF(F38&lt;&gt;0,MAX($B$8:B37)+1,"")</f>
        <v>31</v>
      </c>
      <c r="C38" s="163">
        <f>IF(F38="","",MAX($C$34:C37)+1)</f>
        <v>5</v>
      </c>
      <c r="D38" s="164" t="s">
        <v>355</v>
      </c>
      <c r="E38" s="162"/>
      <c r="F38" s="162" t="s">
        <v>127</v>
      </c>
      <c r="G38" s="165" t="s">
        <v>355</v>
      </c>
      <c r="H38" s="192"/>
      <c r="I38" s="192" t="s">
        <v>1095</v>
      </c>
      <c r="J38" s="167">
        <f t="shared" si="0"/>
        <v>0</v>
      </c>
      <c r="K38" s="167">
        <f t="shared" si="1"/>
        <v>1987</v>
      </c>
      <c r="L38" s="168" t="s">
        <v>39</v>
      </c>
      <c r="M38" s="165"/>
      <c r="N38" s="168" t="s">
        <v>355</v>
      </c>
      <c r="O38" s="168" t="s">
        <v>37</v>
      </c>
      <c r="P38" s="162" t="s">
        <v>405</v>
      </c>
      <c r="Q38" s="162" t="s">
        <v>323</v>
      </c>
      <c r="R38" s="162" t="s">
        <v>1096</v>
      </c>
      <c r="S38" s="162" t="s">
        <v>406</v>
      </c>
      <c r="T38" s="162" t="s">
        <v>325</v>
      </c>
      <c r="U38" s="162" t="s">
        <v>554</v>
      </c>
      <c r="V38" s="162"/>
      <c r="W38" s="162" t="str">
        <f t="shared" si="2"/>
        <v>ĐHTX</v>
      </c>
      <c r="X38" s="162" t="s">
        <v>948</v>
      </c>
      <c r="Y38" s="162" t="s">
        <v>949</v>
      </c>
      <c r="Z38" s="162"/>
      <c r="AA38" s="162"/>
      <c r="AB38" s="162" t="s">
        <v>324</v>
      </c>
      <c r="AC38" s="162" t="s">
        <v>470</v>
      </c>
      <c r="AD38" s="162"/>
      <c r="AE38" s="162"/>
      <c r="AF38" s="162"/>
      <c r="AG38" s="162" t="s">
        <v>587</v>
      </c>
      <c r="AH38" s="162"/>
      <c r="AI38" s="170">
        <v>8911006893</v>
      </c>
      <c r="AJ38" s="162">
        <v>351791913</v>
      </c>
      <c r="AK38" s="166" t="s">
        <v>1097</v>
      </c>
      <c r="AL38" s="166" t="s">
        <v>790</v>
      </c>
      <c r="AM38" s="166" t="s">
        <v>770</v>
      </c>
      <c r="AN38" s="166" t="s">
        <v>787</v>
      </c>
      <c r="AO38" s="171"/>
      <c r="AP38" s="171"/>
      <c r="AQ38" s="171" t="str">
        <f t="shared" si="3"/>
        <v/>
      </c>
      <c r="AR38" s="162"/>
      <c r="AS38" s="162"/>
      <c r="AT38" s="162" t="s">
        <v>1137</v>
      </c>
      <c r="AU38" s="212"/>
    </row>
    <row r="39" spans="1:47" x14ac:dyDescent="0.25">
      <c r="A39" s="220"/>
      <c r="B39" s="229">
        <f>IF(F39&lt;&gt;0,MAX($B$8:B38)+1,"")</f>
        <v>32</v>
      </c>
      <c r="C39" s="163">
        <f>IF(F39="","",MAX($C$34:C38)+1)</f>
        <v>6</v>
      </c>
      <c r="D39" s="164">
        <v>23002</v>
      </c>
      <c r="E39" s="162"/>
      <c r="F39" s="162" t="s">
        <v>332</v>
      </c>
      <c r="G39" s="165" t="s">
        <v>355</v>
      </c>
      <c r="H39" s="192"/>
      <c r="I39" s="355" t="s">
        <v>938</v>
      </c>
      <c r="J39" s="167">
        <f t="shared" si="0"/>
        <v>0</v>
      </c>
      <c r="K39" s="167">
        <f t="shared" si="1"/>
        <v>1981</v>
      </c>
      <c r="L39" s="168" t="s">
        <v>39</v>
      </c>
      <c r="M39" s="165"/>
      <c r="N39" s="168" t="s">
        <v>342</v>
      </c>
      <c r="O39" s="168" t="s">
        <v>37</v>
      </c>
      <c r="P39" s="162" t="s">
        <v>286</v>
      </c>
      <c r="Q39" s="162" t="s">
        <v>311</v>
      </c>
      <c r="R39" s="162" t="s">
        <v>409</v>
      </c>
      <c r="S39" s="162" t="s">
        <v>247</v>
      </c>
      <c r="T39" s="162" t="s">
        <v>962</v>
      </c>
      <c r="U39" s="162" t="s">
        <v>333</v>
      </c>
      <c r="V39" s="162" t="s">
        <v>410</v>
      </c>
      <c r="W39" s="162" t="s">
        <v>514</v>
      </c>
      <c r="X39" s="162" t="s">
        <v>980</v>
      </c>
      <c r="Y39" s="162" t="s">
        <v>956</v>
      </c>
      <c r="Z39" s="162"/>
      <c r="AA39" s="162"/>
      <c r="AB39" s="162" t="s">
        <v>57</v>
      </c>
      <c r="AC39" s="162" t="s">
        <v>139</v>
      </c>
      <c r="AD39" s="162"/>
      <c r="AE39" s="162"/>
      <c r="AF39" s="162"/>
      <c r="AG39" s="162" t="s">
        <v>587</v>
      </c>
      <c r="AH39" s="162" t="s">
        <v>191</v>
      </c>
      <c r="AI39" s="170">
        <v>5004003302</v>
      </c>
      <c r="AJ39" s="162">
        <v>351337962</v>
      </c>
      <c r="AK39" s="166" t="s">
        <v>960</v>
      </c>
      <c r="AL39" s="166" t="s">
        <v>791</v>
      </c>
      <c r="AM39" s="166" t="s">
        <v>791</v>
      </c>
      <c r="AN39" s="166" t="s">
        <v>857</v>
      </c>
      <c r="AO39" s="171"/>
      <c r="AP39" s="171"/>
      <c r="AQ39" s="171" t="str">
        <f t="shared" si="3"/>
        <v/>
      </c>
      <c r="AR39" s="172" t="s">
        <v>961</v>
      </c>
      <c r="AS39" s="639" t="s">
        <v>958</v>
      </c>
      <c r="AT39" s="162" t="s">
        <v>1138</v>
      </c>
      <c r="AU39" s="212"/>
    </row>
    <row r="40" spans="1:47" x14ac:dyDescent="0.25">
      <c r="A40" s="220"/>
      <c r="B40" s="162">
        <f>IF(F40&lt;&gt;0,MAX($B$8:B39)+1,"")</f>
        <v>33</v>
      </c>
      <c r="C40" s="163">
        <f>IF(F40="","",MAX($C$34:C39)+1)</f>
        <v>7</v>
      </c>
      <c r="D40" s="164">
        <v>16342</v>
      </c>
      <c r="E40" s="162"/>
      <c r="F40" s="162" t="s">
        <v>207</v>
      </c>
      <c r="G40" s="165" t="s">
        <v>355</v>
      </c>
      <c r="H40" s="192"/>
      <c r="I40" s="192" t="s">
        <v>660</v>
      </c>
      <c r="J40" s="167">
        <f t="shared" si="0"/>
        <v>0</v>
      </c>
      <c r="K40" s="167">
        <f t="shared" si="1"/>
        <v>1979</v>
      </c>
      <c r="L40" s="168" t="s">
        <v>39</v>
      </c>
      <c r="M40" s="165"/>
      <c r="N40" s="168" t="s">
        <v>355</v>
      </c>
      <c r="O40" s="168" t="s">
        <v>355</v>
      </c>
      <c r="P40" s="162" t="s">
        <v>407</v>
      </c>
      <c r="Q40" s="162" t="s">
        <v>308</v>
      </c>
      <c r="R40" s="162" t="s">
        <v>408</v>
      </c>
      <c r="S40" s="162" t="s">
        <v>289</v>
      </c>
      <c r="T40" s="162" t="s">
        <v>208</v>
      </c>
      <c r="U40" s="162"/>
      <c r="V40" s="162"/>
      <c r="W40" s="224" t="str">
        <f t="shared" si="2"/>
        <v>CĐ3/</v>
      </c>
      <c r="X40" s="162" t="s">
        <v>946</v>
      </c>
      <c r="Y40" s="162" t="s">
        <v>956</v>
      </c>
      <c r="Z40" s="162"/>
      <c r="AA40" s="162"/>
      <c r="AB40" s="162" t="s">
        <v>134</v>
      </c>
      <c r="AC40" s="162"/>
      <c r="AD40" s="162"/>
      <c r="AE40" s="162"/>
      <c r="AF40" s="162"/>
      <c r="AG40" s="224" t="s">
        <v>1037</v>
      </c>
      <c r="AH40" s="162"/>
      <c r="AI40" s="170">
        <v>5099036243</v>
      </c>
      <c r="AJ40" s="162">
        <v>352428214</v>
      </c>
      <c r="AK40" s="166" t="s">
        <v>730</v>
      </c>
      <c r="AL40" s="166" t="s">
        <v>792</v>
      </c>
      <c r="AM40" s="166" t="s">
        <v>821</v>
      </c>
      <c r="AN40" s="166" t="s">
        <v>858</v>
      </c>
      <c r="AO40" s="166" t="s">
        <v>884</v>
      </c>
      <c r="AP40" s="193" t="s">
        <v>293</v>
      </c>
      <c r="AQ40" s="171">
        <f t="shared" si="3"/>
        <v>2001</v>
      </c>
      <c r="AR40" s="162"/>
      <c r="AS40" s="162"/>
      <c r="AT40" s="162" t="s">
        <v>1139</v>
      </c>
      <c r="AU40" s="212"/>
    </row>
    <row r="41" spans="1:47" x14ac:dyDescent="0.25">
      <c r="A41" s="220"/>
      <c r="B41" s="224">
        <f>IF(F41&lt;&gt;0,MAX($B$8:B40)+1,"")</f>
        <v>34</v>
      </c>
      <c r="C41" s="163">
        <f>IF(F41="","",MAX($C$34:C40)+1)</f>
        <v>8</v>
      </c>
      <c r="D41" s="164">
        <v>21545</v>
      </c>
      <c r="E41" s="162"/>
      <c r="F41" s="162" t="s">
        <v>83</v>
      </c>
      <c r="G41" s="165" t="s">
        <v>355</v>
      </c>
      <c r="H41" s="192"/>
      <c r="I41" s="192" t="s">
        <v>661</v>
      </c>
      <c r="J41" s="167">
        <f t="shared" si="0"/>
        <v>0</v>
      </c>
      <c r="K41" s="167">
        <f t="shared" si="1"/>
        <v>1981</v>
      </c>
      <c r="L41" s="168" t="s">
        <v>39</v>
      </c>
      <c r="M41" s="165"/>
      <c r="N41" s="168" t="s">
        <v>355</v>
      </c>
      <c r="O41" s="168" t="s">
        <v>374</v>
      </c>
      <c r="P41" s="162" t="s">
        <v>398</v>
      </c>
      <c r="Q41" s="162" t="s">
        <v>399</v>
      </c>
      <c r="R41" s="162" t="s">
        <v>400</v>
      </c>
      <c r="S41" s="162" t="s">
        <v>133</v>
      </c>
      <c r="T41" s="162" t="s">
        <v>1353</v>
      </c>
      <c r="U41" s="162" t="s">
        <v>553</v>
      </c>
      <c r="V41" s="162"/>
      <c r="W41" s="162" t="str">
        <f t="shared" si="2"/>
        <v>ĐHTX</v>
      </c>
      <c r="X41" s="162" t="s">
        <v>948</v>
      </c>
      <c r="Y41" s="162" t="s">
        <v>948</v>
      </c>
      <c r="Z41" s="162"/>
      <c r="AA41" s="162" t="s">
        <v>636</v>
      </c>
      <c r="AB41" s="162" t="s">
        <v>209</v>
      </c>
      <c r="AC41" s="162" t="s">
        <v>139</v>
      </c>
      <c r="AD41" s="162"/>
      <c r="AE41" s="162"/>
      <c r="AF41" s="162"/>
      <c r="AG41" s="162" t="s">
        <v>587</v>
      </c>
      <c r="AH41" s="162" t="s">
        <v>191</v>
      </c>
      <c r="AI41" s="170">
        <v>5003000274</v>
      </c>
      <c r="AJ41" s="162">
        <v>351441328</v>
      </c>
      <c r="AK41" s="166" t="s">
        <v>731</v>
      </c>
      <c r="AL41" s="166" t="s">
        <v>793</v>
      </c>
      <c r="AM41" s="166" t="s">
        <v>793</v>
      </c>
      <c r="AN41" s="166" t="s">
        <v>859</v>
      </c>
      <c r="AO41" s="166" t="s">
        <v>885</v>
      </c>
      <c r="AP41" s="171" t="s">
        <v>210</v>
      </c>
      <c r="AQ41" s="171">
        <f t="shared" si="3"/>
        <v>2008</v>
      </c>
      <c r="AR41" s="162"/>
      <c r="AS41" s="162"/>
      <c r="AT41" s="162" t="s">
        <v>1140</v>
      </c>
      <c r="AU41" s="212"/>
    </row>
    <row r="42" spans="1:47" x14ac:dyDescent="0.25">
      <c r="A42" s="220"/>
      <c r="B42" s="303">
        <f>IF(F42&lt;&gt;0,MAX($B$8:B41)+1,"")</f>
        <v>35</v>
      </c>
      <c r="C42" s="174" t="s">
        <v>1400</v>
      </c>
      <c r="D42" s="175" t="s">
        <v>355</v>
      </c>
      <c r="E42" s="173"/>
      <c r="F42" s="173" t="s">
        <v>571</v>
      </c>
      <c r="G42" s="176" t="s">
        <v>355</v>
      </c>
      <c r="H42" s="194"/>
      <c r="I42" s="194" t="s">
        <v>704</v>
      </c>
      <c r="J42" s="178">
        <f t="shared" si="0"/>
        <v>0</v>
      </c>
      <c r="K42" s="178">
        <f t="shared" si="1"/>
        <v>1991</v>
      </c>
      <c r="L42" s="179" t="s">
        <v>39</v>
      </c>
      <c r="M42" s="176"/>
      <c r="N42" s="179" t="s">
        <v>342</v>
      </c>
      <c r="O42" s="179" t="s">
        <v>37</v>
      </c>
      <c r="P42" s="173" t="s">
        <v>1032</v>
      </c>
      <c r="Q42" s="173" t="s">
        <v>1033</v>
      </c>
      <c r="R42" s="173" t="s">
        <v>1034</v>
      </c>
      <c r="S42" s="173" t="s">
        <v>468</v>
      </c>
      <c r="T42" s="173" t="s">
        <v>1038</v>
      </c>
      <c r="U42" s="173"/>
      <c r="V42" s="173"/>
      <c r="W42" s="173" t="str">
        <f t="shared" si="2"/>
        <v>ĐHCQ</v>
      </c>
      <c r="X42" s="173" t="s">
        <v>949</v>
      </c>
      <c r="Y42" s="173" t="s">
        <v>949</v>
      </c>
      <c r="Z42" s="173"/>
      <c r="AA42" s="173"/>
      <c r="AB42" s="173" t="s">
        <v>1401</v>
      </c>
      <c r="AC42" s="173" t="s">
        <v>1039</v>
      </c>
      <c r="AD42" s="173"/>
      <c r="AE42" s="173"/>
      <c r="AF42" s="173"/>
      <c r="AG42" s="303" t="s">
        <v>1037</v>
      </c>
      <c r="AH42" s="173"/>
      <c r="AI42" s="644"/>
      <c r="AJ42" s="173">
        <v>352004521</v>
      </c>
      <c r="AK42" s="200" t="s">
        <v>1035</v>
      </c>
      <c r="AL42" s="200" t="s">
        <v>1031</v>
      </c>
      <c r="AM42" s="200" t="s">
        <v>1036</v>
      </c>
      <c r="AN42" s="200" t="s">
        <v>1030</v>
      </c>
      <c r="AO42" s="181"/>
      <c r="AP42" s="181"/>
      <c r="AQ42" s="181" t="str">
        <f t="shared" si="3"/>
        <v/>
      </c>
      <c r="AR42" s="201" t="s">
        <v>1040</v>
      </c>
      <c r="AS42" s="173"/>
      <c r="AT42" s="173" t="s">
        <v>1141</v>
      </c>
      <c r="AU42" s="212"/>
    </row>
    <row r="43" spans="1:47" s="118" customFormat="1" x14ac:dyDescent="0.25">
      <c r="A43" s="220"/>
      <c r="B43" s="696">
        <f>IF(F43&lt;&gt;0,MAX($B$8:B42)+1,"")</f>
        <v>36</v>
      </c>
      <c r="C43" s="182">
        <f>IF(F43="","",1)</f>
        <v>1</v>
      </c>
      <c r="D43" s="183">
        <v>3200</v>
      </c>
      <c r="E43" s="122"/>
      <c r="F43" s="122" t="s">
        <v>85</v>
      </c>
      <c r="G43" s="123" t="s">
        <v>355</v>
      </c>
      <c r="H43" s="124"/>
      <c r="I43" s="124" t="s">
        <v>663</v>
      </c>
      <c r="J43" s="185">
        <f t="shared" si="0"/>
        <v>0</v>
      </c>
      <c r="K43" s="185">
        <f t="shared" si="1"/>
        <v>1976</v>
      </c>
      <c r="L43" s="228" t="s">
        <v>39</v>
      </c>
      <c r="M43" s="123"/>
      <c r="N43" s="126" t="s">
        <v>355</v>
      </c>
      <c r="O43" s="126" t="s">
        <v>414</v>
      </c>
      <c r="P43" s="122" t="s">
        <v>298</v>
      </c>
      <c r="Q43" s="122" t="s">
        <v>422</v>
      </c>
      <c r="R43" s="122" t="s">
        <v>353</v>
      </c>
      <c r="S43" s="122" t="s">
        <v>168</v>
      </c>
      <c r="T43" s="122" t="s">
        <v>169</v>
      </c>
      <c r="U43" s="122" t="s">
        <v>170</v>
      </c>
      <c r="V43" s="122"/>
      <c r="W43" s="122" t="str">
        <f>IF(AND(T43&lt;&gt;"",U43="",V43=""),LEFT(T43,4),IF(AND(T43&lt;&gt;"",U43&lt;&gt;"",V43=""),LEFT(U43,4),LEFT(V43,4)))</f>
        <v>ĐHTC</v>
      </c>
      <c r="X43" s="122" t="s">
        <v>950</v>
      </c>
      <c r="Y43" s="122" t="s">
        <v>950</v>
      </c>
      <c r="Z43" s="122"/>
      <c r="AA43" s="122" t="s">
        <v>636</v>
      </c>
      <c r="AB43" s="122" t="s">
        <v>57</v>
      </c>
      <c r="AC43" s="122" t="s">
        <v>167</v>
      </c>
      <c r="AD43" s="122" t="s">
        <v>160</v>
      </c>
      <c r="AE43" s="190" t="s">
        <v>163</v>
      </c>
      <c r="AF43" s="122" t="s">
        <v>166</v>
      </c>
      <c r="AG43" s="122" t="s">
        <v>587</v>
      </c>
      <c r="AH43" s="122" t="s">
        <v>147</v>
      </c>
      <c r="AI43" s="186">
        <v>5002001444</v>
      </c>
      <c r="AJ43" s="122">
        <v>351235241</v>
      </c>
      <c r="AK43" s="184" t="s">
        <v>733</v>
      </c>
      <c r="AL43" s="184" t="s">
        <v>795</v>
      </c>
      <c r="AM43" s="184" t="s">
        <v>823</v>
      </c>
      <c r="AN43" s="184" t="s">
        <v>861</v>
      </c>
      <c r="AO43" s="184" t="s">
        <v>885</v>
      </c>
      <c r="AP43" s="187" t="s">
        <v>158</v>
      </c>
      <c r="AQ43" s="187">
        <f t="shared" si="3"/>
        <v>2008</v>
      </c>
      <c r="AR43" s="122"/>
      <c r="AS43" s="122"/>
      <c r="AT43" s="122" t="s">
        <v>1142</v>
      </c>
      <c r="AU43" s="212"/>
    </row>
    <row r="44" spans="1:47" s="118" customFormat="1" x14ac:dyDescent="0.25">
      <c r="A44" s="220"/>
      <c r="B44" s="128">
        <f>IF(F44&lt;&gt;0,MAX($B$8:B43)+1,"")</f>
        <v>37</v>
      </c>
      <c r="C44" s="132">
        <f>IF(F44="","",MAX($C$43:C43)+1)</f>
        <v>2</v>
      </c>
      <c r="D44" s="133">
        <v>1291</v>
      </c>
      <c r="E44" s="128"/>
      <c r="F44" s="128" t="s">
        <v>84</v>
      </c>
      <c r="G44" s="134" t="s">
        <v>355</v>
      </c>
      <c r="H44" s="135"/>
      <c r="I44" s="135" t="s">
        <v>662</v>
      </c>
      <c r="J44" s="125">
        <f t="shared" si="0"/>
        <v>0</v>
      </c>
      <c r="K44" s="125">
        <f t="shared" si="1"/>
        <v>1971</v>
      </c>
      <c r="L44" s="136" t="s">
        <v>39</v>
      </c>
      <c r="M44" s="134"/>
      <c r="N44" s="136" t="s">
        <v>342</v>
      </c>
      <c r="O44" s="136" t="s">
        <v>414</v>
      </c>
      <c r="P44" s="128" t="s">
        <v>334</v>
      </c>
      <c r="Q44" s="128" t="s">
        <v>302</v>
      </c>
      <c r="R44" s="128" t="s">
        <v>415</v>
      </c>
      <c r="S44" s="128" t="s">
        <v>335</v>
      </c>
      <c r="T44" s="128" t="s">
        <v>336</v>
      </c>
      <c r="U44" s="128" t="s">
        <v>337</v>
      </c>
      <c r="V44" s="128"/>
      <c r="W44" s="128" t="str">
        <f t="shared" si="2"/>
        <v>ĐHTC</v>
      </c>
      <c r="X44" s="128" t="s">
        <v>950</v>
      </c>
      <c r="Y44" s="128" t="s">
        <v>950</v>
      </c>
      <c r="Z44" s="128"/>
      <c r="AA44" s="128"/>
      <c r="AB44" s="128" t="s">
        <v>148</v>
      </c>
      <c r="AC44" s="128" t="s">
        <v>163</v>
      </c>
      <c r="AD44" s="128" t="s">
        <v>160</v>
      </c>
      <c r="AE44" s="128"/>
      <c r="AF44" s="128" t="s">
        <v>166</v>
      </c>
      <c r="AG44" s="128" t="s">
        <v>587</v>
      </c>
      <c r="AH44" s="128"/>
      <c r="AI44" s="137">
        <v>5096011937</v>
      </c>
      <c r="AJ44" s="128">
        <v>351008303</v>
      </c>
      <c r="AK44" s="138" t="s">
        <v>732</v>
      </c>
      <c r="AL44" s="138" t="s">
        <v>794</v>
      </c>
      <c r="AM44" s="138" t="s">
        <v>822</v>
      </c>
      <c r="AN44" s="138" t="s">
        <v>860</v>
      </c>
      <c r="AO44" s="139"/>
      <c r="AP44" s="139"/>
      <c r="AQ44" s="139" t="str">
        <f t="shared" si="3"/>
        <v/>
      </c>
      <c r="AR44" s="128"/>
      <c r="AS44" s="128"/>
      <c r="AT44" s="128" t="s">
        <v>1143</v>
      </c>
      <c r="AU44" s="212"/>
    </row>
    <row r="45" spans="1:47" s="118" customFormat="1" x14ac:dyDescent="0.25">
      <c r="A45" s="220"/>
      <c r="B45" s="642">
        <f>IF(F45&lt;&gt;0,MAX($B$8:B44)+1,"")</f>
        <v>38</v>
      </c>
      <c r="C45" s="132">
        <f>IF(F45="","",MAX($C$43:C44)+1)</f>
        <v>3</v>
      </c>
      <c r="D45" s="133">
        <v>16049</v>
      </c>
      <c r="E45" s="128"/>
      <c r="F45" s="128" t="s">
        <v>86</v>
      </c>
      <c r="G45" s="134" t="s">
        <v>355</v>
      </c>
      <c r="H45" s="135"/>
      <c r="I45" s="135" t="s">
        <v>664</v>
      </c>
      <c r="J45" s="125">
        <f t="shared" si="0"/>
        <v>0</v>
      </c>
      <c r="K45" s="125">
        <f t="shared" si="1"/>
        <v>1978</v>
      </c>
      <c r="L45" s="136" t="s">
        <v>39</v>
      </c>
      <c r="M45" s="134"/>
      <c r="N45" s="136" t="s">
        <v>355</v>
      </c>
      <c r="O45" s="136" t="s">
        <v>414</v>
      </c>
      <c r="P45" s="128" t="s">
        <v>286</v>
      </c>
      <c r="Q45" s="128" t="s">
        <v>422</v>
      </c>
      <c r="R45" s="128" t="s">
        <v>415</v>
      </c>
      <c r="S45" s="128" t="s">
        <v>341</v>
      </c>
      <c r="T45" s="128" t="s">
        <v>338</v>
      </c>
      <c r="U45" s="128" t="s">
        <v>551</v>
      </c>
      <c r="V45" s="128"/>
      <c r="W45" s="128" t="str">
        <f t="shared" si="2"/>
        <v>ĐHTX</v>
      </c>
      <c r="X45" s="128" t="s">
        <v>950</v>
      </c>
      <c r="Y45" s="128" t="s">
        <v>950</v>
      </c>
      <c r="Z45" s="128"/>
      <c r="AA45" s="128"/>
      <c r="AB45" s="128" t="s">
        <v>148</v>
      </c>
      <c r="AC45" s="128"/>
      <c r="AD45" s="128"/>
      <c r="AE45" s="128"/>
      <c r="AF45" s="128"/>
      <c r="AG45" s="128" t="s">
        <v>587</v>
      </c>
      <c r="AH45" s="128"/>
      <c r="AI45" s="137">
        <v>5099036035</v>
      </c>
      <c r="AJ45" s="128">
        <v>351235969</v>
      </c>
      <c r="AK45" s="138" t="s">
        <v>734</v>
      </c>
      <c r="AL45" s="138" t="s">
        <v>792</v>
      </c>
      <c r="AM45" s="138" t="s">
        <v>792</v>
      </c>
      <c r="AN45" s="138" t="s">
        <v>847</v>
      </c>
      <c r="AO45" s="139"/>
      <c r="AP45" s="139"/>
      <c r="AQ45" s="139" t="str">
        <f t="shared" si="3"/>
        <v/>
      </c>
      <c r="AR45" s="128"/>
      <c r="AS45" s="128"/>
      <c r="AT45" s="128" t="s">
        <v>1144</v>
      </c>
      <c r="AU45" s="212"/>
    </row>
    <row r="46" spans="1:47" s="118" customFormat="1" x14ac:dyDescent="0.25">
      <c r="A46" s="220"/>
      <c r="B46" s="706">
        <f>IF(F46&lt;&gt;0,MAX($B$8:B45)+1,"")</f>
        <v>39</v>
      </c>
      <c r="C46" s="132">
        <f>IF(F46="","",MAX($C$43:C45)+1)</f>
        <v>4</v>
      </c>
      <c r="D46" s="133">
        <v>15356</v>
      </c>
      <c r="E46" s="128"/>
      <c r="F46" s="128" t="s">
        <v>87</v>
      </c>
      <c r="G46" s="134" t="s">
        <v>355</v>
      </c>
      <c r="H46" s="135"/>
      <c r="I46" s="135" t="s">
        <v>665</v>
      </c>
      <c r="J46" s="125">
        <f t="shared" si="0"/>
        <v>0</v>
      </c>
      <c r="K46" s="125">
        <f t="shared" si="1"/>
        <v>1976</v>
      </c>
      <c r="L46" s="136" t="s">
        <v>39</v>
      </c>
      <c r="M46" s="134"/>
      <c r="N46" s="136" t="s">
        <v>342</v>
      </c>
      <c r="O46" s="136" t="s">
        <v>37</v>
      </c>
      <c r="P46" s="128" t="s">
        <v>382</v>
      </c>
      <c r="Q46" s="128" t="s">
        <v>288</v>
      </c>
      <c r="R46" s="128" t="s">
        <v>428</v>
      </c>
      <c r="S46" s="128" t="s">
        <v>182</v>
      </c>
      <c r="T46" s="128" t="s">
        <v>429</v>
      </c>
      <c r="U46" s="128" t="s">
        <v>430</v>
      </c>
      <c r="V46" s="128"/>
      <c r="W46" s="128" t="str">
        <f t="shared" si="2"/>
        <v>ĐHTX</v>
      </c>
      <c r="X46" s="128" t="s">
        <v>950</v>
      </c>
      <c r="Y46" s="128" t="s">
        <v>950</v>
      </c>
      <c r="Z46" s="128"/>
      <c r="AA46" s="128"/>
      <c r="AB46" s="128" t="s">
        <v>1410</v>
      </c>
      <c r="AC46" s="128" t="s">
        <v>432</v>
      </c>
      <c r="AD46" s="191" t="s">
        <v>431</v>
      </c>
      <c r="AE46" s="128"/>
      <c r="AF46" s="128"/>
      <c r="AG46" s="128" t="s">
        <v>587</v>
      </c>
      <c r="AH46" s="128"/>
      <c r="AI46" s="137">
        <v>5099029938</v>
      </c>
      <c r="AJ46" s="128">
        <v>351126645</v>
      </c>
      <c r="AK46" s="138" t="s">
        <v>735</v>
      </c>
      <c r="AL46" s="138" t="s">
        <v>779</v>
      </c>
      <c r="AM46" s="138" t="s">
        <v>824</v>
      </c>
      <c r="AN46" s="138" t="s">
        <v>862</v>
      </c>
      <c r="AO46" s="139"/>
      <c r="AP46" s="139"/>
      <c r="AQ46" s="139" t="str">
        <f t="shared" si="3"/>
        <v/>
      </c>
      <c r="AR46" s="128"/>
      <c r="AS46" s="128"/>
      <c r="AT46" s="128">
        <v>363131144</v>
      </c>
      <c r="AU46" s="212"/>
    </row>
    <row r="47" spans="1:47" s="118" customFormat="1" x14ac:dyDescent="0.25">
      <c r="A47" s="220"/>
      <c r="B47" s="225">
        <f>IF(F47&lt;&gt;0,MAX($B$8:B46)+1,"")</f>
        <v>40</v>
      </c>
      <c r="C47" s="132">
        <f>IF(F47="","",MAX($C$43:C46)+1)</f>
        <v>5</v>
      </c>
      <c r="D47" s="133">
        <v>22626</v>
      </c>
      <c r="E47" s="128"/>
      <c r="F47" s="128" t="s">
        <v>88</v>
      </c>
      <c r="G47" s="134" t="s">
        <v>355</v>
      </c>
      <c r="H47" s="135"/>
      <c r="I47" s="135" t="s">
        <v>666</v>
      </c>
      <c r="J47" s="125">
        <f t="shared" si="0"/>
        <v>0</v>
      </c>
      <c r="K47" s="125">
        <f t="shared" si="1"/>
        <v>1981</v>
      </c>
      <c r="L47" s="136" t="s">
        <v>39</v>
      </c>
      <c r="M47" s="134"/>
      <c r="N47" s="136" t="s">
        <v>355</v>
      </c>
      <c r="O47" s="136" t="s">
        <v>37</v>
      </c>
      <c r="P47" s="128" t="s">
        <v>339</v>
      </c>
      <c r="Q47" s="128" t="s">
        <v>301</v>
      </c>
      <c r="R47" s="128" t="s">
        <v>1023</v>
      </c>
      <c r="S47" s="128" t="s">
        <v>175</v>
      </c>
      <c r="T47" s="128" t="s">
        <v>1024</v>
      </c>
      <c r="U47" s="128" t="s">
        <v>340</v>
      </c>
      <c r="V47" s="128"/>
      <c r="W47" s="128" t="str">
        <f t="shared" si="2"/>
        <v>ĐHTX</v>
      </c>
      <c r="X47" s="128" t="s">
        <v>950</v>
      </c>
      <c r="Y47" s="128" t="s">
        <v>950</v>
      </c>
      <c r="Z47" s="128"/>
      <c r="AA47" s="128"/>
      <c r="AB47" s="128" t="s">
        <v>131</v>
      </c>
      <c r="AC47" s="128" t="s">
        <v>1025</v>
      </c>
      <c r="AD47" s="128" t="s">
        <v>160</v>
      </c>
      <c r="AE47" s="128"/>
      <c r="AF47" s="128"/>
      <c r="AG47" s="128" t="s">
        <v>587</v>
      </c>
      <c r="AH47" s="128" t="s">
        <v>258</v>
      </c>
      <c r="AI47" s="137">
        <v>5004003304</v>
      </c>
      <c r="AJ47" s="128">
        <v>351423503</v>
      </c>
      <c r="AK47" s="138" t="s">
        <v>736</v>
      </c>
      <c r="AL47" s="138" t="s">
        <v>791</v>
      </c>
      <c r="AM47" s="138" t="s">
        <v>791</v>
      </c>
      <c r="AN47" s="138" t="s">
        <v>857</v>
      </c>
      <c r="AO47" s="139"/>
      <c r="AP47" s="139"/>
      <c r="AQ47" s="139" t="str">
        <f t="shared" si="3"/>
        <v/>
      </c>
      <c r="AR47" s="141" t="s">
        <v>1026</v>
      </c>
      <c r="AS47" s="128">
        <v>2003</v>
      </c>
      <c r="AT47" s="128" t="s">
        <v>1145</v>
      </c>
      <c r="AU47" s="212"/>
    </row>
    <row r="48" spans="1:47" s="118" customFormat="1" x14ac:dyDescent="0.25">
      <c r="A48" s="220"/>
      <c r="B48" s="128">
        <f>IF(F48&lt;&gt;0,MAX($B$8:B47)+1,"")</f>
        <v>41</v>
      </c>
      <c r="C48" s="132">
        <f>IF(F48="","",MAX($C$43:C47)+1)</f>
        <v>6</v>
      </c>
      <c r="D48" s="133">
        <v>1226</v>
      </c>
      <c r="E48" s="128"/>
      <c r="F48" s="128" t="s">
        <v>129</v>
      </c>
      <c r="G48" s="134" t="s">
        <v>355</v>
      </c>
      <c r="H48" s="135"/>
      <c r="I48" s="135" t="s">
        <v>667</v>
      </c>
      <c r="J48" s="125">
        <f t="shared" si="0"/>
        <v>0</v>
      </c>
      <c r="K48" s="125">
        <f t="shared" si="1"/>
        <v>1967</v>
      </c>
      <c r="L48" s="136" t="s">
        <v>39</v>
      </c>
      <c r="M48" s="134"/>
      <c r="N48" s="136" t="s">
        <v>424</v>
      </c>
      <c r="O48" s="136" t="s">
        <v>37</v>
      </c>
      <c r="P48" s="128" t="s">
        <v>334</v>
      </c>
      <c r="Q48" s="128" t="s">
        <v>302</v>
      </c>
      <c r="R48" s="128" t="s">
        <v>425</v>
      </c>
      <c r="S48" s="128" t="s">
        <v>273</v>
      </c>
      <c r="T48" s="128" t="s">
        <v>426</v>
      </c>
      <c r="U48" s="128"/>
      <c r="V48" s="128"/>
      <c r="W48" s="225" t="str">
        <f t="shared" si="2"/>
        <v>ĐH2/</v>
      </c>
      <c r="X48" s="128" t="s">
        <v>950</v>
      </c>
      <c r="Y48" s="128" t="s">
        <v>950</v>
      </c>
      <c r="Z48" s="128"/>
      <c r="AA48" s="128"/>
      <c r="AB48" s="128" t="s">
        <v>134</v>
      </c>
      <c r="AC48" s="128" t="s">
        <v>427</v>
      </c>
      <c r="AD48" s="128"/>
      <c r="AE48" s="128"/>
      <c r="AF48" s="128"/>
      <c r="AG48" s="225" t="s">
        <v>1037</v>
      </c>
      <c r="AH48" s="128"/>
      <c r="AI48" s="137">
        <v>5096017227</v>
      </c>
      <c r="AJ48" s="128">
        <v>350781936</v>
      </c>
      <c r="AK48" s="138" t="s">
        <v>737</v>
      </c>
      <c r="AL48" s="138" t="s">
        <v>796</v>
      </c>
      <c r="AM48" s="138" t="s">
        <v>825</v>
      </c>
      <c r="AN48" s="138" t="s">
        <v>591</v>
      </c>
      <c r="AO48" s="139"/>
      <c r="AP48" s="139"/>
      <c r="AQ48" s="139" t="str">
        <f t="shared" si="3"/>
        <v/>
      </c>
      <c r="AR48" s="128"/>
      <c r="AS48" s="128"/>
      <c r="AT48" s="128" t="s">
        <v>1146</v>
      </c>
      <c r="AU48" s="212"/>
    </row>
    <row r="49" spans="1:47" s="118" customFormat="1" x14ac:dyDescent="0.25">
      <c r="A49" s="220"/>
      <c r="B49" s="698">
        <f>IF(F49&lt;&gt;0,MAX($B$8:B48)+1,"")</f>
        <v>42</v>
      </c>
      <c r="C49" s="143">
        <f>IF(F49="","",MAX($C$43:C48)+1)</f>
        <v>7</v>
      </c>
      <c r="D49" s="357">
        <v>1202</v>
      </c>
      <c r="E49" s="358" t="s">
        <v>1173</v>
      </c>
      <c r="F49" s="358" t="s">
        <v>89</v>
      </c>
      <c r="G49" s="359"/>
      <c r="H49" s="376" t="s">
        <v>668</v>
      </c>
      <c r="I49" s="376"/>
      <c r="J49" s="362">
        <f t="shared" si="0"/>
        <v>1960</v>
      </c>
      <c r="K49" s="362">
        <f t="shared" si="1"/>
        <v>0</v>
      </c>
      <c r="L49" s="363" t="s">
        <v>39</v>
      </c>
      <c r="M49" s="359"/>
      <c r="N49" s="363" t="s">
        <v>355</v>
      </c>
      <c r="O49" s="363" t="s">
        <v>350</v>
      </c>
      <c r="P49" s="358" t="s">
        <v>416</v>
      </c>
      <c r="Q49" s="358" t="s">
        <v>417</v>
      </c>
      <c r="R49" s="358" t="s">
        <v>418</v>
      </c>
      <c r="S49" s="358" t="s">
        <v>419</v>
      </c>
      <c r="T49" s="358" t="s">
        <v>420</v>
      </c>
      <c r="U49" s="358" t="s">
        <v>550</v>
      </c>
      <c r="V49" s="358"/>
      <c r="W49" s="358" t="str">
        <f t="shared" si="2"/>
        <v>ĐHTX</v>
      </c>
      <c r="X49" s="358" t="s">
        <v>950</v>
      </c>
      <c r="Y49" s="358" t="s">
        <v>950</v>
      </c>
      <c r="Z49" s="358"/>
      <c r="AA49" s="358"/>
      <c r="AB49" s="358" t="s">
        <v>421</v>
      </c>
      <c r="AC49" s="358"/>
      <c r="AD49" s="358"/>
      <c r="AE49" s="358"/>
      <c r="AF49" s="358"/>
      <c r="AG49" s="358" t="s">
        <v>587</v>
      </c>
      <c r="AH49" s="358"/>
      <c r="AI49" s="365">
        <v>5096017246</v>
      </c>
      <c r="AJ49" s="358">
        <v>352307281</v>
      </c>
      <c r="AK49" s="376" t="s">
        <v>738</v>
      </c>
      <c r="AL49" s="376" t="s">
        <v>687</v>
      </c>
      <c r="AM49" s="376" t="s">
        <v>826</v>
      </c>
      <c r="AN49" s="376" t="s">
        <v>863</v>
      </c>
      <c r="AO49" s="360"/>
      <c r="AP49" s="360"/>
      <c r="AQ49" s="360" t="str">
        <f t="shared" si="3"/>
        <v/>
      </c>
      <c r="AR49" s="358"/>
      <c r="AS49" s="358"/>
      <c r="AT49" s="358" t="s">
        <v>1147</v>
      </c>
      <c r="AU49" s="212"/>
    </row>
    <row r="50" spans="1:47" x14ac:dyDescent="0.25">
      <c r="A50" s="220"/>
      <c r="B50" s="704">
        <f>IF(F50&lt;&gt;0,MAX($B$8:B49)+1,"")</f>
        <v>43</v>
      </c>
      <c r="C50" s="152">
        <f>IF(F50="","",1)</f>
        <v>1</v>
      </c>
      <c r="D50" s="153">
        <v>18763</v>
      </c>
      <c r="E50" s="151"/>
      <c r="F50" s="151" t="s">
        <v>91</v>
      </c>
      <c r="G50" s="154" t="s">
        <v>355</v>
      </c>
      <c r="H50" s="195"/>
      <c r="I50" s="195" t="s">
        <v>670</v>
      </c>
      <c r="J50" s="156">
        <f t="shared" si="0"/>
        <v>0</v>
      </c>
      <c r="K50" s="156">
        <f t="shared" si="1"/>
        <v>1979</v>
      </c>
      <c r="L50" s="228" t="s">
        <v>39</v>
      </c>
      <c r="M50" s="154"/>
      <c r="N50" s="157" t="s">
        <v>342</v>
      </c>
      <c r="O50" s="157" t="s">
        <v>37</v>
      </c>
      <c r="P50" s="151" t="s">
        <v>441</v>
      </c>
      <c r="Q50" s="151" t="s">
        <v>343</v>
      </c>
      <c r="R50" s="151" t="s">
        <v>453</v>
      </c>
      <c r="S50" s="151" t="s">
        <v>187</v>
      </c>
      <c r="T50" s="151" t="s">
        <v>188</v>
      </c>
      <c r="U50" s="151" t="s">
        <v>189</v>
      </c>
      <c r="V50" s="151"/>
      <c r="W50" s="151" t="str">
        <f>IF(AND(T50&lt;&gt;"",U50="",V50=""),LEFT(T50,4),IF(AND(T50&lt;&gt;"",U50&lt;&gt;"",V50=""),LEFT(U50,4),LEFT(V50,4)))</f>
        <v>ĐHTX</v>
      </c>
      <c r="X50" s="151" t="s">
        <v>944</v>
      </c>
      <c r="Y50" s="151" t="s">
        <v>944</v>
      </c>
      <c r="Z50" s="151"/>
      <c r="AA50" s="151" t="s">
        <v>51</v>
      </c>
      <c r="AB50" s="151" t="s">
        <v>190</v>
      </c>
      <c r="AC50" s="151" t="s">
        <v>303</v>
      </c>
      <c r="AD50" s="151"/>
      <c r="AE50" s="151"/>
      <c r="AF50" s="151"/>
      <c r="AG50" s="151" t="s">
        <v>587</v>
      </c>
      <c r="AH50" s="151" t="s">
        <v>191</v>
      </c>
      <c r="AI50" s="159">
        <v>5002000917</v>
      </c>
      <c r="AJ50" s="151">
        <v>351310081</v>
      </c>
      <c r="AK50" s="155" t="s">
        <v>740</v>
      </c>
      <c r="AL50" s="155" t="s">
        <v>776</v>
      </c>
      <c r="AM50" s="155" t="s">
        <v>828</v>
      </c>
      <c r="AN50" s="155" t="s">
        <v>848</v>
      </c>
      <c r="AO50" s="155" t="s">
        <v>885</v>
      </c>
      <c r="AP50" s="160" t="s">
        <v>192</v>
      </c>
      <c r="AQ50" s="160">
        <f t="shared" si="3"/>
        <v>2008</v>
      </c>
      <c r="AR50" s="151"/>
      <c r="AS50" s="151"/>
      <c r="AT50" s="151" t="s">
        <v>1148</v>
      </c>
      <c r="AU50" s="212"/>
    </row>
    <row r="51" spans="1:47" x14ac:dyDescent="0.25">
      <c r="A51" s="220"/>
      <c r="B51" s="703">
        <f>IF(F51&lt;&gt;0,MAX($B$8:B50)+1,"")</f>
        <v>44</v>
      </c>
      <c r="C51" s="163">
        <f>IF(F51="","",MAX($C$50:C50)+1)</f>
        <v>2</v>
      </c>
      <c r="D51" s="164">
        <v>21549</v>
      </c>
      <c r="E51" s="162"/>
      <c r="F51" s="162" t="s">
        <v>92</v>
      </c>
      <c r="G51" s="165" t="s">
        <v>355</v>
      </c>
      <c r="H51" s="192"/>
      <c r="I51" s="192" t="s">
        <v>899</v>
      </c>
      <c r="J51" s="167">
        <f t="shared" si="0"/>
        <v>0</v>
      </c>
      <c r="K51" s="167">
        <f t="shared" si="1"/>
        <v>1980</v>
      </c>
      <c r="L51" s="168" t="s">
        <v>39</v>
      </c>
      <c r="M51" s="165"/>
      <c r="N51" s="168" t="s">
        <v>342</v>
      </c>
      <c r="O51" s="168" t="s">
        <v>37</v>
      </c>
      <c r="P51" s="162" t="s">
        <v>339</v>
      </c>
      <c r="Q51" s="162" t="s">
        <v>301</v>
      </c>
      <c r="R51" s="162" t="s">
        <v>451</v>
      </c>
      <c r="S51" s="162" t="s">
        <v>452</v>
      </c>
      <c r="T51" s="162" t="s">
        <v>1397</v>
      </c>
      <c r="U51" s="162" t="s">
        <v>189</v>
      </c>
      <c r="V51" s="162"/>
      <c r="W51" s="162" t="str">
        <f t="shared" si="2"/>
        <v>ĐHTX</v>
      </c>
      <c r="X51" s="162" t="s">
        <v>944</v>
      </c>
      <c r="Y51" s="162" t="s">
        <v>944</v>
      </c>
      <c r="Z51" s="162"/>
      <c r="AA51" s="162"/>
      <c r="AB51" s="162" t="s">
        <v>148</v>
      </c>
      <c r="AC51" s="162"/>
      <c r="AD51" s="162"/>
      <c r="AE51" s="162"/>
      <c r="AF51" s="162"/>
      <c r="AG51" s="162" t="s">
        <v>587</v>
      </c>
      <c r="AH51" s="162" t="s">
        <v>191</v>
      </c>
      <c r="AI51" s="170">
        <v>5003000447</v>
      </c>
      <c r="AJ51" s="162">
        <v>351318295</v>
      </c>
      <c r="AK51" s="166" t="s">
        <v>741</v>
      </c>
      <c r="AL51" s="166" t="s">
        <v>793</v>
      </c>
      <c r="AM51" s="166" t="s">
        <v>829</v>
      </c>
      <c r="AN51" s="166" t="s">
        <v>859</v>
      </c>
      <c r="AO51" s="171"/>
      <c r="AP51" s="171"/>
      <c r="AQ51" s="171" t="str">
        <f t="shared" si="3"/>
        <v/>
      </c>
      <c r="AR51" s="162"/>
      <c r="AS51" s="162"/>
      <c r="AT51" s="162">
        <v>907824260</v>
      </c>
      <c r="AU51" s="212"/>
    </row>
    <row r="52" spans="1:47" x14ac:dyDescent="0.25">
      <c r="A52" s="220"/>
      <c r="B52" s="224">
        <f>IF(F52&lt;&gt;0,MAX($B$8:B51)+1,"")</f>
        <v>45</v>
      </c>
      <c r="C52" s="163">
        <f>IF(F52="","",MAX($C$50:C51)+1)</f>
        <v>3</v>
      </c>
      <c r="D52" s="164" t="s">
        <v>355</v>
      </c>
      <c r="E52" s="162"/>
      <c r="F52" s="162" t="s">
        <v>93</v>
      </c>
      <c r="G52" s="165"/>
      <c r="H52" s="166" t="s">
        <v>671</v>
      </c>
      <c r="I52" s="166"/>
      <c r="J52" s="167">
        <f t="shared" si="0"/>
        <v>1984</v>
      </c>
      <c r="K52" s="167">
        <f t="shared" si="1"/>
        <v>0</v>
      </c>
      <c r="L52" s="168" t="s">
        <v>39</v>
      </c>
      <c r="M52" s="165"/>
      <c r="N52" s="168" t="s">
        <v>355</v>
      </c>
      <c r="O52" s="168" t="s">
        <v>350</v>
      </c>
      <c r="P52" s="162" t="s">
        <v>450</v>
      </c>
      <c r="Q52" s="162" t="s">
        <v>305</v>
      </c>
      <c r="R52" s="162" t="s">
        <v>392</v>
      </c>
      <c r="S52" s="162" t="s">
        <v>257</v>
      </c>
      <c r="T52" s="162" t="s">
        <v>548</v>
      </c>
      <c r="U52" s="162"/>
      <c r="V52" s="162"/>
      <c r="W52" s="162" t="str">
        <f t="shared" si="2"/>
        <v>ĐHCQ</v>
      </c>
      <c r="X52" s="162" t="s">
        <v>944</v>
      </c>
      <c r="Y52" s="162" t="s">
        <v>944</v>
      </c>
      <c r="Z52" s="162"/>
      <c r="AA52" s="162" t="s">
        <v>636</v>
      </c>
      <c r="AB52" s="162" t="s">
        <v>209</v>
      </c>
      <c r="AC52" s="162" t="s">
        <v>144</v>
      </c>
      <c r="AD52" s="162"/>
      <c r="AE52" s="162"/>
      <c r="AF52" s="162"/>
      <c r="AG52" s="162" t="s">
        <v>587</v>
      </c>
      <c r="AH52" s="162" t="s">
        <v>157</v>
      </c>
      <c r="AI52" s="170">
        <v>8908006815</v>
      </c>
      <c r="AJ52" s="162">
        <v>352091352</v>
      </c>
      <c r="AK52" s="166" t="s">
        <v>742</v>
      </c>
      <c r="AL52" s="166" t="s">
        <v>788</v>
      </c>
      <c r="AM52" s="166" t="s">
        <v>788</v>
      </c>
      <c r="AN52" s="166" t="s">
        <v>771</v>
      </c>
      <c r="AO52" s="166" t="s">
        <v>886</v>
      </c>
      <c r="AP52" s="171" t="s">
        <v>294</v>
      </c>
      <c r="AQ52" s="171">
        <f t="shared" si="3"/>
        <v>2013</v>
      </c>
      <c r="AR52" s="162"/>
      <c r="AS52" s="162"/>
      <c r="AT52" s="162" t="s">
        <v>1149</v>
      </c>
      <c r="AU52" s="212"/>
    </row>
    <row r="53" spans="1:47" x14ac:dyDescent="0.25">
      <c r="A53" s="220"/>
      <c r="B53" s="224">
        <f>IF(F53&lt;&gt;0,MAX($B$8:B52)+1,"")</f>
        <v>46</v>
      </c>
      <c r="C53" s="163">
        <f>IF(F53="","",MAX($C$50:C52)+1)</f>
        <v>4</v>
      </c>
      <c r="D53" s="164">
        <v>1230</v>
      </c>
      <c r="E53" s="162"/>
      <c r="F53" s="162" t="s">
        <v>94</v>
      </c>
      <c r="G53" s="165" t="s">
        <v>355</v>
      </c>
      <c r="H53" s="192"/>
      <c r="I53" s="192" t="s">
        <v>672</v>
      </c>
      <c r="J53" s="167">
        <f t="shared" si="0"/>
        <v>0</v>
      </c>
      <c r="K53" s="167">
        <f t="shared" si="1"/>
        <v>1969</v>
      </c>
      <c r="L53" s="168" t="s">
        <v>39</v>
      </c>
      <c r="M53" s="165"/>
      <c r="N53" s="168" t="s">
        <v>355</v>
      </c>
      <c r="O53" s="168" t="s">
        <v>37</v>
      </c>
      <c r="P53" s="162" t="s">
        <v>435</v>
      </c>
      <c r="Q53" s="162" t="s">
        <v>302</v>
      </c>
      <c r="R53" s="162" t="s">
        <v>1087</v>
      </c>
      <c r="S53" s="162" t="s">
        <v>273</v>
      </c>
      <c r="T53" s="162" t="s">
        <v>213</v>
      </c>
      <c r="U53" s="162" t="s">
        <v>546</v>
      </c>
      <c r="V53" s="162"/>
      <c r="W53" s="162" t="str">
        <f t="shared" si="2"/>
        <v>ĐHTX</v>
      </c>
      <c r="X53" s="162" t="s">
        <v>944</v>
      </c>
      <c r="Y53" s="162" t="s">
        <v>944</v>
      </c>
      <c r="Z53" s="162"/>
      <c r="AA53" s="162"/>
      <c r="AB53" s="162"/>
      <c r="AC53" s="162"/>
      <c r="AD53" s="162"/>
      <c r="AE53" s="162"/>
      <c r="AF53" s="162"/>
      <c r="AG53" s="162" t="s">
        <v>587</v>
      </c>
      <c r="AH53" s="162"/>
      <c r="AI53" s="170">
        <v>5096017216</v>
      </c>
      <c r="AJ53" s="162">
        <v>350828367</v>
      </c>
      <c r="AK53" s="166" t="s">
        <v>743</v>
      </c>
      <c r="AL53" s="166" t="s">
        <v>797</v>
      </c>
      <c r="AM53" s="166" t="s">
        <v>830</v>
      </c>
      <c r="AN53" s="166" t="s">
        <v>1398</v>
      </c>
      <c r="AO53" s="171"/>
      <c r="AP53" s="171"/>
      <c r="AQ53" s="171" t="str">
        <f t="shared" si="3"/>
        <v/>
      </c>
      <c r="AR53" s="162"/>
      <c r="AS53" s="162"/>
      <c r="AT53" s="162" t="s">
        <v>1150</v>
      </c>
      <c r="AU53" s="212"/>
    </row>
    <row r="54" spans="1:47" x14ac:dyDescent="0.25">
      <c r="A54" s="220"/>
      <c r="B54" s="224">
        <f>IF(F54&lt;&gt;0,MAX($B$8:B53)+1,"")</f>
        <v>47</v>
      </c>
      <c r="C54" s="163">
        <f>IF(F54="","",MAX($C$50:C53)+1)</f>
        <v>5</v>
      </c>
      <c r="D54" s="164">
        <v>1225</v>
      </c>
      <c r="E54" s="162"/>
      <c r="F54" s="162" t="s">
        <v>95</v>
      </c>
      <c r="G54" s="165" t="s">
        <v>355</v>
      </c>
      <c r="H54" s="192"/>
      <c r="I54" s="192" t="s">
        <v>673</v>
      </c>
      <c r="J54" s="167">
        <f t="shared" si="0"/>
        <v>0</v>
      </c>
      <c r="K54" s="167">
        <f t="shared" si="1"/>
        <v>1969</v>
      </c>
      <c r="L54" s="168" t="s">
        <v>39</v>
      </c>
      <c r="M54" s="165"/>
      <c r="N54" s="168" t="s">
        <v>355</v>
      </c>
      <c r="O54" s="168" t="s">
        <v>402</v>
      </c>
      <c r="P54" s="162" t="s">
        <v>455</v>
      </c>
      <c r="Q54" s="162" t="s">
        <v>456</v>
      </c>
      <c r="R54" s="162" t="s">
        <v>457</v>
      </c>
      <c r="S54" s="162" t="s">
        <v>273</v>
      </c>
      <c r="T54" s="162" t="s">
        <v>458</v>
      </c>
      <c r="U54" s="162" t="s">
        <v>448</v>
      </c>
      <c r="V54" s="162"/>
      <c r="W54" s="162" t="str">
        <f t="shared" si="2"/>
        <v>ĐHTX</v>
      </c>
      <c r="X54" s="162" t="s">
        <v>944</v>
      </c>
      <c r="Y54" s="162" t="s">
        <v>944</v>
      </c>
      <c r="Z54" s="162"/>
      <c r="AA54" s="162"/>
      <c r="AB54" s="162" t="s">
        <v>202</v>
      </c>
      <c r="AC54" s="162"/>
      <c r="AD54" s="162"/>
      <c r="AE54" s="162"/>
      <c r="AF54" s="162"/>
      <c r="AG54" s="162" t="s">
        <v>587</v>
      </c>
      <c r="AH54" s="162" t="s">
        <v>157</v>
      </c>
      <c r="AI54" s="170">
        <v>5096017228</v>
      </c>
      <c r="AJ54" s="162">
        <v>350799696</v>
      </c>
      <c r="AK54" s="166" t="s">
        <v>710</v>
      </c>
      <c r="AL54" s="166" t="s">
        <v>783</v>
      </c>
      <c r="AM54" s="166" t="s">
        <v>814</v>
      </c>
      <c r="AN54" s="166" t="s">
        <v>865</v>
      </c>
      <c r="AO54" s="171"/>
      <c r="AP54" s="171"/>
      <c r="AQ54" s="171" t="str">
        <f t="shared" si="3"/>
        <v/>
      </c>
      <c r="AR54" s="162"/>
      <c r="AS54" s="162"/>
      <c r="AT54" s="162" t="s">
        <v>1151</v>
      </c>
      <c r="AU54" s="212"/>
    </row>
    <row r="55" spans="1:47" x14ac:dyDescent="0.25">
      <c r="A55" s="220"/>
      <c r="B55" s="224">
        <f>IF(F55&lt;&gt;0,MAX($B$8:B54)+1,"")</f>
        <v>48</v>
      </c>
      <c r="C55" s="163">
        <f>IF(F55="","",MAX($C$50:C54)+1)</f>
        <v>6</v>
      </c>
      <c r="D55" s="164">
        <v>23035</v>
      </c>
      <c r="E55" s="162"/>
      <c r="F55" s="162" t="s">
        <v>121</v>
      </c>
      <c r="G55" s="165" t="s">
        <v>355</v>
      </c>
      <c r="H55" s="192"/>
      <c r="I55" s="192" t="s">
        <v>676</v>
      </c>
      <c r="J55" s="167">
        <f t="shared" si="0"/>
        <v>0</v>
      </c>
      <c r="K55" s="167">
        <f t="shared" si="1"/>
        <v>1982</v>
      </c>
      <c r="L55" s="168" t="s">
        <v>39</v>
      </c>
      <c r="M55" s="165"/>
      <c r="N55" s="168" t="s">
        <v>352</v>
      </c>
      <c r="O55" s="168" t="s">
        <v>37</v>
      </c>
      <c r="P55" s="162" t="s">
        <v>460</v>
      </c>
      <c r="Q55" s="162" t="s">
        <v>459</v>
      </c>
      <c r="R55" s="162" t="s">
        <v>461</v>
      </c>
      <c r="S55" s="162" t="s">
        <v>175</v>
      </c>
      <c r="T55" s="162" t="s">
        <v>221</v>
      </c>
      <c r="U55" s="162" t="s">
        <v>462</v>
      </c>
      <c r="V55" s="162"/>
      <c r="W55" s="162" t="str">
        <f t="shared" si="2"/>
        <v>ĐHTX</v>
      </c>
      <c r="X55" s="162" t="s">
        <v>944</v>
      </c>
      <c r="Y55" s="162" t="s">
        <v>944</v>
      </c>
      <c r="Z55" s="162"/>
      <c r="AA55" s="162"/>
      <c r="AB55" s="162" t="s">
        <v>463</v>
      </c>
      <c r="AC55" s="162"/>
      <c r="AD55" s="162"/>
      <c r="AE55" s="162"/>
      <c r="AF55" s="162"/>
      <c r="AG55" s="162" t="s">
        <v>587</v>
      </c>
      <c r="AH55" s="162" t="s">
        <v>331</v>
      </c>
      <c r="AI55" s="170">
        <v>5004003301</v>
      </c>
      <c r="AJ55" s="162">
        <v>351411910</v>
      </c>
      <c r="AK55" s="166" t="s">
        <v>746</v>
      </c>
      <c r="AL55" s="166" t="s">
        <v>791</v>
      </c>
      <c r="AM55" s="166" t="s">
        <v>791</v>
      </c>
      <c r="AN55" s="166" t="s">
        <v>857</v>
      </c>
      <c r="AO55" s="171"/>
      <c r="AP55" s="171"/>
      <c r="AQ55" s="171" t="str">
        <f t="shared" si="3"/>
        <v/>
      </c>
      <c r="AR55" s="172" t="s">
        <v>1085</v>
      </c>
      <c r="AS55" s="172" t="s">
        <v>1086</v>
      </c>
      <c r="AT55" s="162" t="s">
        <v>1152</v>
      </c>
      <c r="AU55" s="212"/>
    </row>
    <row r="56" spans="1:47" x14ac:dyDescent="0.25">
      <c r="A56" s="220"/>
      <c r="B56" s="224">
        <f>IF(F56&lt;&gt;0,MAX($B$8:B55)+1,"")</f>
        <v>49</v>
      </c>
      <c r="C56" s="163">
        <f>IF(F56="","",MAX($C$50:C55)+1)</f>
        <v>7</v>
      </c>
      <c r="D56" s="164" t="s">
        <v>355</v>
      </c>
      <c r="E56" s="162"/>
      <c r="F56" s="162" t="s">
        <v>122</v>
      </c>
      <c r="G56" s="165"/>
      <c r="H56" s="166" t="s">
        <v>677</v>
      </c>
      <c r="I56" s="166"/>
      <c r="J56" s="167">
        <f t="shared" si="0"/>
        <v>1986</v>
      </c>
      <c r="K56" s="167">
        <f t="shared" si="1"/>
        <v>0</v>
      </c>
      <c r="L56" s="168" t="s">
        <v>39</v>
      </c>
      <c r="M56" s="165"/>
      <c r="N56" s="168" t="s">
        <v>342</v>
      </c>
      <c r="O56" s="168" t="s">
        <v>37</v>
      </c>
      <c r="P56" s="162" t="s">
        <v>441</v>
      </c>
      <c r="Q56" s="162" t="s">
        <v>302</v>
      </c>
      <c r="R56" s="162" t="s">
        <v>1089</v>
      </c>
      <c r="S56" s="162" t="s">
        <v>200</v>
      </c>
      <c r="T56" s="162" t="s">
        <v>1090</v>
      </c>
      <c r="U56" s="162" t="s">
        <v>549</v>
      </c>
      <c r="V56" s="162"/>
      <c r="W56" s="162" t="str">
        <f t="shared" si="2"/>
        <v>ĐHTX</v>
      </c>
      <c r="X56" s="162" t="s">
        <v>944</v>
      </c>
      <c r="Y56" s="162" t="s">
        <v>944</v>
      </c>
      <c r="Z56" s="162"/>
      <c r="AA56" s="162"/>
      <c r="AB56" s="162" t="s">
        <v>328</v>
      </c>
      <c r="AC56" s="162" t="s">
        <v>1091</v>
      </c>
      <c r="AD56" s="191" t="s">
        <v>230</v>
      </c>
      <c r="AE56" s="162"/>
      <c r="AF56" s="162"/>
      <c r="AG56" s="162" t="s">
        <v>587</v>
      </c>
      <c r="AH56" s="162"/>
      <c r="AI56" s="170">
        <v>8909004570</v>
      </c>
      <c r="AJ56" s="162">
        <v>351673402</v>
      </c>
      <c r="AK56" s="166" t="s">
        <v>747</v>
      </c>
      <c r="AL56" s="166" t="s">
        <v>798</v>
      </c>
      <c r="AM56" s="166" t="s">
        <v>831</v>
      </c>
      <c r="AN56" s="166" t="s">
        <v>866</v>
      </c>
      <c r="AO56" s="171"/>
      <c r="AP56" s="171"/>
      <c r="AQ56" s="171" t="str">
        <f t="shared" si="3"/>
        <v/>
      </c>
      <c r="AR56" s="172" t="s">
        <v>1092</v>
      </c>
      <c r="AS56" s="162"/>
      <c r="AT56" s="162" t="s">
        <v>1153</v>
      </c>
      <c r="AU56" s="212"/>
    </row>
    <row r="57" spans="1:47" x14ac:dyDescent="0.25">
      <c r="A57" s="220"/>
      <c r="B57" s="639">
        <f>IF(F57&lt;&gt;0,MAX($B$8:B56)+1,"")</f>
        <v>50</v>
      </c>
      <c r="C57" s="163">
        <f>IF(F57="","",MAX($C$50:C56)+1)</f>
        <v>8</v>
      </c>
      <c r="D57" s="164">
        <v>22874</v>
      </c>
      <c r="E57" s="162"/>
      <c r="F57" s="162" t="s">
        <v>105</v>
      </c>
      <c r="G57" s="165" t="s">
        <v>355</v>
      </c>
      <c r="H57" s="192"/>
      <c r="I57" s="192" t="s">
        <v>678</v>
      </c>
      <c r="J57" s="167">
        <f t="shared" si="0"/>
        <v>0</v>
      </c>
      <c r="K57" s="167">
        <f t="shared" si="1"/>
        <v>1981</v>
      </c>
      <c r="L57" s="168" t="s">
        <v>39</v>
      </c>
      <c r="M57" s="165"/>
      <c r="N57" s="168" t="s">
        <v>342</v>
      </c>
      <c r="O57" s="168" t="s">
        <v>402</v>
      </c>
      <c r="P57" s="162" t="s">
        <v>435</v>
      </c>
      <c r="Q57" s="162" t="s">
        <v>302</v>
      </c>
      <c r="R57" s="162" t="s">
        <v>353</v>
      </c>
      <c r="S57" s="162" t="s">
        <v>175</v>
      </c>
      <c r="T57" s="162" t="s">
        <v>221</v>
      </c>
      <c r="U57" s="162" t="s">
        <v>547</v>
      </c>
      <c r="V57" s="162"/>
      <c r="W57" s="162" t="str">
        <f t="shared" si="2"/>
        <v>ĐHTX</v>
      </c>
      <c r="X57" s="162" t="s">
        <v>944</v>
      </c>
      <c r="Y57" s="162" t="s">
        <v>944</v>
      </c>
      <c r="Z57" s="162"/>
      <c r="AA57" s="162"/>
      <c r="AB57" s="162" t="s">
        <v>57</v>
      </c>
      <c r="AC57" s="162"/>
      <c r="AD57" s="162"/>
      <c r="AE57" s="162"/>
      <c r="AF57" s="162"/>
      <c r="AG57" s="162" t="s">
        <v>587</v>
      </c>
      <c r="AH57" s="162" t="s">
        <v>222</v>
      </c>
      <c r="AI57" s="170">
        <v>5004003300</v>
      </c>
      <c r="AJ57" s="162">
        <v>351360972</v>
      </c>
      <c r="AK57" s="166" t="s">
        <v>748</v>
      </c>
      <c r="AL57" s="166" t="s">
        <v>791</v>
      </c>
      <c r="AM57" s="166" t="s">
        <v>791</v>
      </c>
      <c r="AN57" s="166" t="s">
        <v>857</v>
      </c>
      <c r="AO57" s="166" t="s">
        <v>888</v>
      </c>
      <c r="AP57" s="171" t="s">
        <v>223</v>
      </c>
      <c r="AQ57" s="171">
        <f t="shared" si="3"/>
        <v>2009</v>
      </c>
      <c r="AR57" s="162"/>
      <c r="AS57" s="162"/>
      <c r="AT57" s="162" t="s">
        <v>1154</v>
      </c>
      <c r="AU57" s="212"/>
    </row>
    <row r="58" spans="1:47" x14ac:dyDescent="0.25">
      <c r="A58" s="220"/>
      <c r="B58" s="224">
        <f>IF(F58&lt;&gt;0,MAX($B$8:B57)+1,"")</f>
        <v>51</v>
      </c>
      <c r="C58" s="163">
        <f>IF(F58="","",MAX($C$50:C57)+1)</f>
        <v>9</v>
      </c>
      <c r="D58" s="164">
        <v>1215</v>
      </c>
      <c r="E58" s="162"/>
      <c r="F58" s="162" t="s">
        <v>99</v>
      </c>
      <c r="G58" s="165" t="s">
        <v>355</v>
      </c>
      <c r="H58" s="192"/>
      <c r="I58" s="192" t="s">
        <v>680</v>
      </c>
      <c r="J58" s="167">
        <f t="shared" si="0"/>
        <v>0</v>
      </c>
      <c r="K58" s="167">
        <f t="shared" si="1"/>
        <v>1966</v>
      </c>
      <c r="L58" s="168" t="s">
        <v>39</v>
      </c>
      <c r="M58" s="165"/>
      <c r="N58" s="168" t="s">
        <v>352</v>
      </c>
      <c r="O58" s="168" t="s">
        <v>37</v>
      </c>
      <c r="P58" s="197" t="s">
        <v>449</v>
      </c>
      <c r="Q58" s="162" t="s">
        <v>304</v>
      </c>
      <c r="R58" s="162" t="s">
        <v>353</v>
      </c>
      <c r="S58" s="162" t="s">
        <v>265</v>
      </c>
      <c r="T58" s="162" t="s">
        <v>213</v>
      </c>
      <c r="U58" s="162" t="s">
        <v>214</v>
      </c>
      <c r="V58" s="162"/>
      <c r="W58" s="162" t="str">
        <f t="shared" si="2"/>
        <v>ĐHTX</v>
      </c>
      <c r="X58" s="162" t="s">
        <v>944</v>
      </c>
      <c r="Y58" s="162" t="s">
        <v>944</v>
      </c>
      <c r="Z58" s="162"/>
      <c r="AA58" s="162"/>
      <c r="AB58" s="162" t="s">
        <v>134</v>
      </c>
      <c r="AC58" s="162"/>
      <c r="AD58" s="162"/>
      <c r="AE58" s="162"/>
      <c r="AF58" s="162"/>
      <c r="AG58" s="162" t="s">
        <v>587</v>
      </c>
      <c r="AH58" s="162" t="s">
        <v>135</v>
      </c>
      <c r="AI58" s="170">
        <v>5096017218</v>
      </c>
      <c r="AJ58" s="162">
        <v>351560443</v>
      </c>
      <c r="AK58" s="166" t="s">
        <v>710</v>
      </c>
      <c r="AL58" s="166" t="s">
        <v>783</v>
      </c>
      <c r="AM58" s="166" t="s">
        <v>818</v>
      </c>
      <c r="AN58" s="166" t="s">
        <v>846</v>
      </c>
      <c r="AO58" s="166" t="s">
        <v>889</v>
      </c>
      <c r="AP58" s="171" t="s">
        <v>215</v>
      </c>
      <c r="AQ58" s="171">
        <f t="shared" si="3"/>
        <v>2006</v>
      </c>
      <c r="AR58" s="162"/>
      <c r="AS58" s="197">
        <v>33627</v>
      </c>
      <c r="AT58" s="162" t="s">
        <v>1155</v>
      </c>
      <c r="AU58" s="212"/>
    </row>
    <row r="59" spans="1:47" x14ac:dyDescent="0.25">
      <c r="A59" s="220"/>
      <c r="B59" s="224">
        <f>IF(F59&lt;&gt;0,MAX($B$8:B58)+1,"")</f>
        <v>52</v>
      </c>
      <c r="C59" s="163">
        <f>IF(F59="","",MAX($C$50:C58)+1)</f>
        <v>10</v>
      </c>
      <c r="D59" s="164">
        <v>16293</v>
      </c>
      <c r="E59" s="162"/>
      <c r="F59" s="162" t="s">
        <v>568</v>
      </c>
      <c r="G59" s="165"/>
      <c r="H59" s="192" t="s">
        <v>701</v>
      </c>
      <c r="I59" s="192"/>
      <c r="J59" s="167">
        <f t="shared" si="0"/>
        <v>1979</v>
      </c>
      <c r="K59" s="167">
        <f t="shared" si="1"/>
        <v>0</v>
      </c>
      <c r="L59" s="227" t="s">
        <v>39</v>
      </c>
      <c r="M59" s="165"/>
      <c r="N59" s="695" t="s">
        <v>1363</v>
      </c>
      <c r="O59" s="168" t="s">
        <v>37</v>
      </c>
      <c r="P59" s="162" t="s">
        <v>339</v>
      </c>
      <c r="Q59" s="162" t="s">
        <v>592</v>
      </c>
      <c r="R59" s="639"/>
      <c r="S59" s="162" t="s">
        <v>593</v>
      </c>
      <c r="T59" s="162" t="s">
        <v>594</v>
      </c>
      <c r="U59" s="198" t="s">
        <v>547</v>
      </c>
      <c r="V59" s="162"/>
      <c r="W59" s="162" t="str">
        <f t="shared" si="2"/>
        <v>ĐHTX</v>
      </c>
      <c r="X59" s="162" t="s">
        <v>944</v>
      </c>
      <c r="Y59" s="162" t="s">
        <v>944</v>
      </c>
      <c r="Z59" s="162"/>
      <c r="AA59" s="162" t="s">
        <v>1364</v>
      </c>
      <c r="AB59" s="162" t="s">
        <v>202</v>
      </c>
      <c r="AC59" s="162" t="s">
        <v>303</v>
      </c>
      <c r="AD59" s="162"/>
      <c r="AE59" s="162"/>
      <c r="AF59" s="162"/>
      <c r="AG59" s="162" t="s">
        <v>587</v>
      </c>
      <c r="AH59" s="162" t="s">
        <v>1365</v>
      </c>
      <c r="AI59" s="170"/>
      <c r="AJ59" s="162"/>
      <c r="AK59" s="171"/>
      <c r="AL59" s="166" t="s">
        <v>792</v>
      </c>
      <c r="AM59" s="166" t="s">
        <v>840</v>
      </c>
      <c r="AN59" s="166" t="s">
        <v>847</v>
      </c>
      <c r="AO59" s="196" t="s">
        <v>916</v>
      </c>
      <c r="AP59" s="171" t="s">
        <v>1413</v>
      </c>
      <c r="AQ59" s="171">
        <f t="shared" si="3"/>
        <v>2007</v>
      </c>
      <c r="AR59" s="162"/>
      <c r="AS59" s="162"/>
      <c r="AT59" s="162" t="s">
        <v>1156</v>
      </c>
      <c r="AU59" s="212"/>
    </row>
    <row r="60" spans="1:47" x14ac:dyDescent="0.25">
      <c r="A60" s="220"/>
      <c r="B60" s="162">
        <f>IF(F60&lt;&gt;0,MAX($B$8:B59)+1,"")</f>
        <v>53</v>
      </c>
      <c r="C60" s="163">
        <f>IF(F60="","",MAX($C$50:C59)+1)</f>
        <v>11</v>
      </c>
      <c r="D60" s="377">
        <v>1211</v>
      </c>
      <c r="E60" s="378" t="s">
        <v>1174</v>
      </c>
      <c r="F60" s="378" t="s">
        <v>90</v>
      </c>
      <c r="G60" s="379" t="s">
        <v>355</v>
      </c>
      <c r="H60" s="380"/>
      <c r="I60" s="380" t="s">
        <v>669</v>
      </c>
      <c r="J60" s="381">
        <f t="shared" si="0"/>
        <v>0</v>
      </c>
      <c r="K60" s="381">
        <f t="shared" si="1"/>
        <v>1966</v>
      </c>
      <c r="L60" s="382" t="s">
        <v>39</v>
      </c>
      <c r="M60" s="379"/>
      <c r="N60" s="382" t="s">
        <v>355</v>
      </c>
      <c r="O60" s="382" t="s">
        <v>37</v>
      </c>
      <c r="P60" s="378" t="s">
        <v>286</v>
      </c>
      <c r="Q60" s="378" t="s">
        <v>313</v>
      </c>
      <c r="R60" s="378" t="s">
        <v>447</v>
      </c>
      <c r="S60" s="378" t="s">
        <v>273</v>
      </c>
      <c r="T60" s="378" t="s">
        <v>454</v>
      </c>
      <c r="U60" s="378" t="s">
        <v>448</v>
      </c>
      <c r="V60" s="378"/>
      <c r="W60" s="378" t="str">
        <f t="shared" si="2"/>
        <v>ĐHTX</v>
      </c>
      <c r="X60" s="378" t="s">
        <v>944</v>
      </c>
      <c r="Y60" s="378" t="s">
        <v>944</v>
      </c>
      <c r="Z60" s="378"/>
      <c r="AA60" s="378"/>
      <c r="AB60" s="378" t="s">
        <v>148</v>
      </c>
      <c r="AC60" s="378"/>
      <c r="AD60" s="378"/>
      <c r="AE60" s="378"/>
      <c r="AF60" s="378"/>
      <c r="AG60" s="378" t="s">
        <v>587</v>
      </c>
      <c r="AH60" s="378"/>
      <c r="AI60" s="383">
        <v>5096017257</v>
      </c>
      <c r="AJ60" s="378">
        <v>350836458</v>
      </c>
      <c r="AK60" s="384" t="s">
        <v>739</v>
      </c>
      <c r="AL60" s="384" t="s">
        <v>783</v>
      </c>
      <c r="AM60" s="384" t="s">
        <v>827</v>
      </c>
      <c r="AN60" s="384" t="s">
        <v>864</v>
      </c>
      <c r="AO60" s="385"/>
      <c r="AP60" s="385"/>
      <c r="AQ60" s="385" t="str">
        <f t="shared" si="3"/>
        <v/>
      </c>
      <c r="AR60" s="378"/>
      <c r="AS60" s="378"/>
      <c r="AT60" s="378"/>
      <c r="AU60" s="212"/>
    </row>
    <row r="61" spans="1:47" x14ac:dyDescent="0.25">
      <c r="A61" s="220"/>
      <c r="B61" s="162">
        <f>IF(F61&lt;&gt;0,MAX($B$8:B60)+1,"")</f>
        <v>54</v>
      </c>
      <c r="C61" s="163">
        <f>IF(F61="","",MAX($C$50:C60)+1)</f>
        <v>12</v>
      </c>
      <c r="D61" s="164" t="s">
        <v>355</v>
      </c>
      <c r="E61" s="162"/>
      <c r="F61" s="162" t="s">
        <v>912</v>
      </c>
      <c r="G61" s="165" t="s">
        <v>355</v>
      </c>
      <c r="H61" s="192"/>
      <c r="I61" s="192" t="s">
        <v>927</v>
      </c>
      <c r="J61" s="167">
        <f t="shared" si="0"/>
        <v>0</v>
      </c>
      <c r="K61" s="167">
        <f t="shared" si="1"/>
        <v>1991</v>
      </c>
      <c r="L61" s="168" t="s">
        <v>39</v>
      </c>
      <c r="M61" s="165"/>
      <c r="N61" s="168"/>
      <c r="O61" s="168"/>
      <c r="P61" s="162"/>
      <c r="Q61" s="162"/>
      <c r="R61" s="162"/>
      <c r="S61" s="162"/>
      <c r="T61" s="162" t="s">
        <v>928</v>
      </c>
      <c r="U61" s="199" t="s">
        <v>929</v>
      </c>
      <c r="V61" s="162"/>
      <c r="W61" s="162" t="str">
        <f t="shared" si="2"/>
        <v>ĐHTC</v>
      </c>
      <c r="X61" s="162" t="s">
        <v>951</v>
      </c>
      <c r="Y61" s="162" t="s">
        <v>951</v>
      </c>
      <c r="Z61" s="162"/>
      <c r="AA61" s="162"/>
      <c r="AB61" s="162" t="s">
        <v>202</v>
      </c>
      <c r="AC61" s="162" t="s">
        <v>930</v>
      </c>
      <c r="AD61" s="162"/>
      <c r="AE61" s="162"/>
      <c r="AF61" s="162"/>
      <c r="AG61" s="162" t="s">
        <v>587</v>
      </c>
      <c r="AH61" s="162"/>
      <c r="AI61" s="170"/>
      <c r="AJ61" s="162"/>
      <c r="AK61" s="171"/>
      <c r="AL61" s="171"/>
      <c r="AM61" s="171"/>
      <c r="AN61" s="171"/>
      <c r="AO61" s="171"/>
      <c r="AP61" s="171"/>
      <c r="AQ61" s="171" t="str">
        <f t="shared" si="3"/>
        <v/>
      </c>
      <c r="AR61" s="162"/>
      <c r="AS61" s="162"/>
      <c r="AT61" s="162" t="s">
        <v>1157</v>
      </c>
      <c r="AU61" s="212"/>
    </row>
    <row r="62" spans="1:47" x14ac:dyDescent="0.25">
      <c r="A62" s="220"/>
      <c r="B62" s="162">
        <f>IF(F62&lt;&gt;0,MAX($B$8:B61)+1,"")</f>
        <v>55</v>
      </c>
      <c r="C62" s="163">
        <f>IF(F62="","",MAX($C$50:C61)+1)</f>
        <v>13</v>
      </c>
      <c r="D62" s="164" t="s">
        <v>355</v>
      </c>
      <c r="E62" s="162"/>
      <c r="F62" s="162" t="s">
        <v>123</v>
      </c>
      <c r="G62" s="165" t="s">
        <v>355</v>
      </c>
      <c r="H62" s="192"/>
      <c r="I62" s="192" t="s">
        <v>681</v>
      </c>
      <c r="J62" s="167">
        <f t="shared" si="0"/>
        <v>0</v>
      </c>
      <c r="K62" s="167">
        <f t="shared" si="1"/>
        <v>1989</v>
      </c>
      <c r="L62" s="168" t="s">
        <v>39</v>
      </c>
      <c r="M62" s="165"/>
      <c r="N62" s="168" t="s">
        <v>355</v>
      </c>
      <c r="O62" s="168" t="s">
        <v>37</v>
      </c>
      <c r="P62" s="162" t="s">
        <v>472</v>
      </c>
      <c r="Q62" s="162" t="s">
        <v>302</v>
      </c>
      <c r="R62" s="162" t="s">
        <v>467</v>
      </c>
      <c r="S62" s="162" t="s">
        <v>224</v>
      </c>
      <c r="T62" s="162" t="s">
        <v>225</v>
      </c>
      <c r="U62" s="162"/>
      <c r="V62" s="162"/>
      <c r="W62" s="162" t="str">
        <f t="shared" ref="W62:W67" si="5">IF(AND(T62&lt;&gt;"",U62="",V62=""),LEFT(T62,4),IF(AND(T62&lt;&gt;"",U62&lt;&gt;"",V62=""),LEFT(U62,4),LEFT(V62,4)))</f>
        <v>ĐHCQ</v>
      </c>
      <c r="X62" s="162" t="s">
        <v>951</v>
      </c>
      <c r="Y62" s="162" t="s">
        <v>951</v>
      </c>
      <c r="Z62" s="162"/>
      <c r="AA62" s="162"/>
      <c r="AB62" s="162"/>
      <c r="AC62" s="162" t="s">
        <v>186</v>
      </c>
      <c r="AD62" s="162"/>
      <c r="AE62" s="162"/>
      <c r="AF62" s="162"/>
      <c r="AG62" s="162" t="s">
        <v>587</v>
      </c>
      <c r="AH62" s="162" t="s">
        <v>157</v>
      </c>
      <c r="AI62" s="170">
        <v>8912009658</v>
      </c>
      <c r="AJ62" s="162">
        <v>351853836</v>
      </c>
      <c r="AK62" s="166" t="s">
        <v>750</v>
      </c>
      <c r="AL62" s="166" t="s">
        <v>787</v>
      </c>
      <c r="AM62" s="166" t="s">
        <v>787</v>
      </c>
      <c r="AN62" s="166" t="s">
        <v>789</v>
      </c>
      <c r="AO62" s="166" t="s">
        <v>890</v>
      </c>
      <c r="AP62" s="648" t="s">
        <v>1351</v>
      </c>
      <c r="AQ62" s="171">
        <f t="shared" si="3"/>
        <v>2015</v>
      </c>
      <c r="AR62" s="162"/>
      <c r="AS62" s="162"/>
      <c r="AT62" s="162" t="s">
        <v>1158</v>
      </c>
      <c r="AU62" s="212"/>
    </row>
    <row r="63" spans="1:47" x14ac:dyDescent="0.25">
      <c r="A63" s="220"/>
      <c r="B63" s="162">
        <f>IF(F63&lt;&gt;0,MAX($B$8:B62)+1,"")</f>
        <v>56</v>
      </c>
      <c r="C63" s="163">
        <f>IF(F63="","",MAX($C$50:C62)+1)</f>
        <v>14</v>
      </c>
      <c r="D63" s="377" t="s">
        <v>355</v>
      </c>
      <c r="E63" s="378" t="s">
        <v>1175</v>
      </c>
      <c r="F63" s="378" t="s">
        <v>96</v>
      </c>
      <c r="G63" s="379"/>
      <c r="H63" s="384" t="s">
        <v>674</v>
      </c>
      <c r="I63" s="384"/>
      <c r="J63" s="381">
        <f t="shared" si="0"/>
        <v>1987</v>
      </c>
      <c r="K63" s="381">
        <f t="shared" si="1"/>
        <v>0</v>
      </c>
      <c r="L63" s="382" t="s">
        <v>39</v>
      </c>
      <c r="M63" s="379"/>
      <c r="N63" s="382" t="s">
        <v>352</v>
      </c>
      <c r="O63" s="382" t="s">
        <v>37</v>
      </c>
      <c r="P63" s="378" t="s">
        <v>464</v>
      </c>
      <c r="Q63" s="378" t="s">
        <v>306</v>
      </c>
      <c r="R63" s="378" t="s">
        <v>465</v>
      </c>
      <c r="S63" s="378" t="s">
        <v>193</v>
      </c>
      <c r="T63" s="378" t="s">
        <v>194</v>
      </c>
      <c r="U63" s="378" t="s">
        <v>195</v>
      </c>
      <c r="V63" s="378"/>
      <c r="W63" s="378" t="str">
        <f t="shared" si="5"/>
        <v>ĐHTX</v>
      </c>
      <c r="X63" s="378" t="s">
        <v>951</v>
      </c>
      <c r="Y63" s="378" t="s">
        <v>951</v>
      </c>
      <c r="Z63" s="378"/>
      <c r="AA63" s="378"/>
      <c r="AB63" s="378" t="s">
        <v>197</v>
      </c>
      <c r="AC63" s="378" t="s">
        <v>196</v>
      </c>
      <c r="AD63" s="378"/>
      <c r="AE63" s="378"/>
      <c r="AF63" s="378"/>
      <c r="AG63" s="378" t="s">
        <v>587</v>
      </c>
      <c r="AH63" s="378" t="s">
        <v>198</v>
      </c>
      <c r="AI63" s="383">
        <v>8909002471</v>
      </c>
      <c r="AJ63" s="378">
        <v>351732117</v>
      </c>
      <c r="AK63" s="384" t="s">
        <v>744</v>
      </c>
      <c r="AL63" s="384" t="s">
        <v>798</v>
      </c>
      <c r="AM63" s="384" t="s">
        <v>798</v>
      </c>
      <c r="AN63" s="384" t="s">
        <v>866</v>
      </c>
      <c r="AO63" s="384" t="s">
        <v>887</v>
      </c>
      <c r="AP63" s="385" t="s">
        <v>199</v>
      </c>
      <c r="AQ63" s="385">
        <f t="shared" si="3"/>
        <v>2012</v>
      </c>
      <c r="AR63" s="378"/>
      <c r="AS63" s="378"/>
      <c r="AT63" s="378"/>
      <c r="AU63" s="212"/>
    </row>
    <row r="64" spans="1:47" x14ac:dyDescent="0.25">
      <c r="A64" s="220"/>
      <c r="B64" s="162">
        <f>IF(F64&lt;&gt;0,MAX($B$8:B63)+1,"")</f>
        <v>57</v>
      </c>
      <c r="C64" s="163">
        <f>IF(F64="","",MAX($C$50:C63)+1)</f>
        <v>15</v>
      </c>
      <c r="D64" s="164" t="s">
        <v>355</v>
      </c>
      <c r="E64" s="162"/>
      <c r="F64" s="162" t="s">
        <v>97</v>
      </c>
      <c r="G64" s="165"/>
      <c r="H64" s="166" t="s">
        <v>675</v>
      </c>
      <c r="I64" s="166"/>
      <c r="J64" s="167">
        <f t="shared" si="0"/>
        <v>1991</v>
      </c>
      <c r="K64" s="167">
        <f t="shared" si="1"/>
        <v>0</v>
      </c>
      <c r="L64" s="168" t="s">
        <v>39</v>
      </c>
      <c r="M64" s="165"/>
      <c r="N64" s="168" t="s">
        <v>352</v>
      </c>
      <c r="O64" s="168" t="s">
        <v>37</v>
      </c>
      <c r="P64" s="162" t="s">
        <v>466</v>
      </c>
      <c r="Q64" s="162" t="s">
        <v>306</v>
      </c>
      <c r="R64" s="162" t="s">
        <v>467</v>
      </c>
      <c r="S64" s="162" t="s">
        <v>468</v>
      </c>
      <c r="T64" s="162" t="s">
        <v>469</v>
      </c>
      <c r="U64" s="162" t="s">
        <v>517</v>
      </c>
      <c r="V64" s="162"/>
      <c r="W64" s="162" t="str">
        <f t="shared" si="5"/>
        <v>ĐHTC</v>
      </c>
      <c r="X64" s="162" t="s">
        <v>951</v>
      </c>
      <c r="Y64" s="162" t="s">
        <v>951</v>
      </c>
      <c r="Z64" s="162"/>
      <c r="AA64" s="162"/>
      <c r="AB64" s="162"/>
      <c r="AC64" s="162" t="s">
        <v>470</v>
      </c>
      <c r="AD64" s="162"/>
      <c r="AE64" s="162"/>
      <c r="AF64" s="162"/>
      <c r="AG64" s="162" t="s">
        <v>1037</v>
      </c>
      <c r="AH64" s="162"/>
      <c r="AI64" s="170">
        <v>8913010609</v>
      </c>
      <c r="AJ64" s="162">
        <v>351995826</v>
      </c>
      <c r="AK64" s="166" t="s">
        <v>745</v>
      </c>
      <c r="AL64" s="166" t="s">
        <v>789</v>
      </c>
      <c r="AM64" s="166" t="s">
        <v>789</v>
      </c>
      <c r="AN64" s="166" t="s">
        <v>770</v>
      </c>
      <c r="AO64" s="196" t="s">
        <v>914</v>
      </c>
      <c r="AP64" s="648" t="s">
        <v>1351</v>
      </c>
      <c r="AQ64" s="171">
        <f t="shared" si="3"/>
        <v>2019</v>
      </c>
      <c r="AR64" s="162"/>
      <c r="AS64" s="162"/>
      <c r="AT64" s="172" t="s">
        <v>1159</v>
      </c>
      <c r="AU64" s="212"/>
    </row>
    <row r="65" spans="1:47" x14ac:dyDescent="0.25">
      <c r="A65" s="220"/>
      <c r="B65" s="162">
        <f>IF(F65&lt;&gt;0,MAX($B$8:B64)+1,"")</f>
        <v>58</v>
      </c>
      <c r="C65" s="163">
        <f>IF(F65="","",MAX($C$50:C64)+1)</f>
        <v>16</v>
      </c>
      <c r="D65" s="377" t="s">
        <v>355</v>
      </c>
      <c r="E65" s="378" t="s">
        <v>1176</v>
      </c>
      <c r="F65" s="378" t="s">
        <v>98</v>
      </c>
      <c r="G65" s="379" t="s">
        <v>355</v>
      </c>
      <c r="H65" s="380"/>
      <c r="I65" s="380" t="s">
        <v>679</v>
      </c>
      <c r="J65" s="381">
        <f t="shared" si="0"/>
        <v>0</v>
      </c>
      <c r="K65" s="381">
        <f t="shared" si="1"/>
        <v>1990</v>
      </c>
      <c r="L65" s="382" t="s">
        <v>39</v>
      </c>
      <c r="M65" s="379"/>
      <c r="N65" s="382" t="s">
        <v>352</v>
      </c>
      <c r="O65" s="382" t="s">
        <v>37</v>
      </c>
      <c r="P65" s="378" t="s">
        <v>474</v>
      </c>
      <c r="Q65" s="378" t="s">
        <v>473</v>
      </c>
      <c r="R65" s="378" t="s">
        <v>475</v>
      </c>
      <c r="S65" s="378" t="s">
        <v>437</v>
      </c>
      <c r="T65" s="378" t="s">
        <v>476</v>
      </c>
      <c r="U65" s="378"/>
      <c r="V65" s="378"/>
      <c r="W65" s="378" t="str">
        <f t="shared" si="5"/>
        <v>CĐ3/</v>
      </c>
      <c r="X65" s="378" t="s">
        <v>951</v>
      </c>
      <c r="Y65" s="378" t="s">
        <v>951</v>
      </c>
      <c r="Z65" s="378"/>
      <c r="AA65" s="378"/>
      <c r="AB65" s="378"/>
      <c r="AC65" s="378" t="s">
        <v>470</v>
      </c>
      <c r="AD65" s="378"/>
      <c r="AE65" s="378"/>
      <c r="AF65" s="378"/>
      <c r="AG65" s="378"/>
      <c r="AH65" s="378" t="s">
        <v>157</v>
      </c>
      <c r="AI65" s="383">
        <v>8913010610</v>
      </c>
      <c r="AJ65" s="378">
        <v>351947777</v>
      </c>
      <c r="AK65" s="384" t="s">
        <v>749</v>
      </c>
      <c r="AL65" s="384" t="s">
        <v>789</v>
      </c>
      <c r="AM65" s="384" t="s">
        <v>789</v>
      </c>
      <c r="AN65" s="384" t="s">
        <v>770</v>
      </c>
      <c r="AO65" s="385"/>
      <c r="AP65" s="385"/>
      <c r="AQ65" s="385" t="str">
        <f t="shared" si="3"/>
        <v/>
      </c>
      <c r="AR65" s="378"/>
      <c r="AS65" s="378"/>
      <c r="AT65" s="378"/>
      <c r="AU65" s="212"/>
    </row>
    <row r="66" spans="1:47" x14ac:dyDescent="0.25">
      <c r="A66" s="220"/>
      <c r="B66" s="162">
        <f>IF(F66&lt;&gt;0,MAX($B$8:B65)+1,"")</f>
        <v>59</v>
      </c>
      <c r="C66" s="174">
        <f>IF(F66="","",MAX($C$50:C65)+1)</f>
        <v>17</v>
      </c>
      <c r="D66" s="386">
        <v>37072</v>
      </c>
      <c r="E66" s="387" t="s">
        <v>1177</v>
      </c>
      <c r="F66" s="387" t="s">
        <v>572</v>
      </c>
      <c r="G66" s="388"/>
      <c r="H66" s="389" t="s">
        <v>705</v>
      </c>
      <c r="I66" s="389"/>
      <c r="J66" s="390">
        <f t="shared" si="0"/>
        <v>1987</v>
      </c>
      <c r="K66" s="390">
        <f t="shared" si="1"/>
        <v>0</v>
      </c>
      <c r="L66" s="391" t="s">
        <v>39</v>
      </c>
      <c r="M66" s="388"/>
      <c r="N66" s="391"/>
      <c r="O66" s="391" t="s">
        <v>37</v>
      </c>
      <c r="P66" s="387" t="s">
        <v>900</v>
      </c>
      <c r="Q66" s="387" t="s">
        <v>313</v>
      </c>
      <c r="R66" s="387" t="s">
        <v>901</v>
      </c>
      <c r="S66" s="387" t="s">
        <v>329</v>
      </c>
      <c r="T66" s="387" t="s">
        <v>902</v>
      </c>
      <c r="U66" s="392"/>
      <c r="V66" s="387"/>
      <c r="W66" s="387" t="str">
        <f t="shared" si="5"/>
        <v>ĐHTC</v>
      </c>
      <c r="X66" s="387" t="s">
        <v>951</v>
      </c>
      <c r="Y66" s="387" t="s">
        <v>951</v>
      </c>
      <c r="Z66" s="387"/>
      <c r="AA66" s="387"/>
      <c r="AB66" s="387" t="s">
        <v>905</v>
      </c>
      <c r="AC66" s="387" t="s">
        <v>906</v>
      </c>
      <c r="AD66" s="387"/>
      <c r="AE66" s="387"/>
      <c r="AF66" s="387"/>
      <c r="AG66" s="387" t="s">
        <v>587</v>
      </c>
      <c r="AH66" s="387"/>
      <c r="AI66" s="393">
        <v>8911006947</v>
      </c>
      <c r="AJ66" s="387">
        <v>351777761</v>
      </c>
      <c r="AK66" s="394" t="s">
        <v>903</v>
      </c>
      <c r="AL66" s="395" t="s">
        <v>907</v>
      </c>
      <c r="AM66" s="395" t="s">
        <v>904</v>
      </c>
      <c r="AN66" s="395" t="s">
        <v>908</v>
      </c>
      <c r="AO66" s="395" t="s">
        <v>909</v>
      </c>
      <c r="AP66" s="649" t="s">
        <v>1352</v>
      </c>
      <c r="AQ66" s="396">
        <f t="shared" si="3"/>
        <v>2013</v>
      </c>
      <c r="AR66" s="387"/>
      <c r="AS66" s="387"/>
      <c r="AT66" s="397" t="s">
        <v>910</v>
      </c>
      <c r="AU66" s="212"/>
    </row>
    <row r="67" spans="1:47" s="118" customFormat="1" ht="16.5" customHeight="1" x14ac:dyDescent="0.25">
      <c r="A67" s="220"/>
      <c r="B67" s="224">
        <f>IF(F67&lt;&gt;0,MAX($B$8:B66)+1,"")</f>
        <v>60</v>
      </c>
      <c r="C67" s="182">
        <f>IF(F67="","",1)</f>
        <v>1</v>
      </c>
      <c r="D67" s="183">
        <v>24659</v>
      </c>
      <c r="E67" s="122"/>
      <c r="F67" s="122" t="s">
        <v>106</v>
      </c>
      <c r="G67" s="123"/>
      <c r="H67" s="184" t="s">
        <v>688</v>
      </c>
      <c r="I67" s="184"/>
      <c r="J67" s="185">
        <f t="shared" si="0"/>
        <v>1981</v>
      </c>
      <c r="K67" s="185">
        <f t="shared" si="1"/>
        <v>0</v>
      </c>
      <c r="L67" s="228" t="s">
        <v>39</v>
      </c>
      <c r="M67" s="123"/>
      <c r="N67" s="126" t="s">
        <v>424</v>
      </c>
      <c r="O67" s="126" t="s">
        <v>402</v>
      </c>
      <c r="P67" s="122" t="s">
        <v>441</v>
      </c>
      <c r="Q67" s="122" t="s">
        <v>310</v>
      </c>
      <c r="R67" s="122" t="s">
        <v>423</v>
      </c>
      <c r="S67" s="122" t="s">
        <v>175</v>
      </c>
      <c r="T67" s="122" t="s">
        <v>171</v>
      </c>
      <c r="U67" s="122" t="s">
        <v>172</v>
      </c>
      <c r="V67" s="122" t="s">
        <v>964</v>
      </c>
      <c r="W67" s="226" t="str">
        <f t="shared" si="5"/>
        <v>ThsC</v>
      </c>
      <c r="X67" s="128" t="s">
        <v>963</v>
      </c>
      <c r="Y67" s="128" t="s">
        <v>963</v>
      </c>
      <c r="Z67" s="122" t="s">
        <v>176</v>
      </c>
      <c r="AA67" s="122" t="s">
        <v>174</v>
      </c>
      <c r="AB67" s="122" t="s">
        <v>137</v>
      </c>
      <c r="AC67" s="122" t="s">
        <v>173</v>
      </c>
      <c r="AD67" s="122" t="s">
        <v>196</v>
      </c>
      <c r="AE67" s="122"/>
      <c r="AF67" s="122"/>
      <c r="AG67" s="122" t="s">
        <v>587</v>
      </c>
      <c r="AH67" s="122" t="s">
        <v>138</v>
      </c>
      <c r="AI67" s="186">
        <v>5005002748</v>
      </c>
      <c r="AJ67" s="122">
        <v>351366246</v>
      </c>
      <c r="AK67" s="184" t="s">
        <v>754</v>
      </c>
      <c r="AL67" s="184" t="s">
        <v>786</v>
      </c>
      <c r="AM67" s="184" t="s">
        <v>786</v>
      </c>
      <c r="AN67" s="184" t="s">
        <v>856</v>
      </c>
      <c r="AO67" s="184" t="s">
        <v>892</v>
      </c>
      <c r="AP67" s="187" t="s">
        <v>177</v>
      </c>
      <c r="AQ67" s="187">
        <f t="shared" si="3"/>
        <v>2009</v>
      </c>
      <c r="AR67" s="122"/>
      <c r="AS67" s="122">
        <v>2004</v>
      </c>
      <c r="AT67" s="202" t="s">
        <v>966</v>
      </c>
      <c r="AU67" s="212"/>
    </row>
    <row r="68" spans="1:47" s="118" customFormat="1" x14ac:dyDescent="0.25">
      <c r="A68" s="220"/>
      <c r="B68" s="224">
        <f>IF(F68&lt;&gt;0,MAX($B$8:B67)+1,"")</f>
        <v>61</v>
      </c>
      <c r="C68" s="132">
        <f>IF(F68="","",MAX($C$67:C67)+1)</f>
        <v>2</v>
      </c>
      <c r="D68" s="133">
        <v>34257</v>
      </c>
      <c r="E68" s="128"/>
      <c r="F68" s="128" t="s">
        <v>101</v>
      </c>
      <c r="G68" s="134"/>
      <c r="H68" s="138" t="s">
        <v>683</v>
      </c>
      <c r="I68" s="138"/>
      <c r="J68" s="125">
        <f t="shared" si="0"/>
        <v>1983</v>
      </c>
      <c r="K68" s="125">
        <f t="shared" si="1"/>
        <v>0</v>
      </c>
      <c r="L68" s="136" t="s">
        <v>39</v>
      </c>
      <c r="M68" s="134"/>
      <c r="N68" s="136" t="s">
        <v>424</v>
      </c>
      <c r="O68" s="136" t="s">
        <v>37</v>
      </c>
      <c r="P68" s="128" t="s">
        <v>435</v>
      </c>
      <c r="Q68" s="128" t="s">
        <v>302</v>
      </c>
      <c r="R68" s="128" t="s">
        <v>479</v>
      </c>
      <c r="S68" s="128" t="s">
        <v>480</v>
      </c>
      <c r="T68" s="128" t="s">
        <v>543</v>
      </c>
      <c r="U68" s="128"/>
      <c r="V68" s="128"/>
      <c r="W68" s="225" t="str">
        <f t="shared" si="2"/>
        <v>CĐ3/</v>
      </c>
      <c r="X68" s="128" t="s">
        <v>999</v>
      </c>
      <c r="Y68" s="128" t="s">
        <v>943</v>
      </c>
      <c r="Z68" s="128"/>
      <c r="AA68" s="128"/>
      <c r="AB68" s="128" t="s">
        <v>156</v>
      </c>
      <c r="AC68" s="128"/>
      <c r="AD68" s="128"/>
      <c r="AE68" s="128"/>
      <c r="AF68" s="128"/>
      <c r="AG68" s="225" t="s">
        <v>1037</v>
      </c>
      <c r="AH68" s="128" t="s">
        <v>157</v>
      </c>
      <c r="AI68" s="137">
        <v>8909002472</v>
      </c>
      <c r="AJ68" s="128">
        <v>351466527</v>
      </c>
      <c r="AK68" s="138" t="s">
        <v>751</v>
      </c>
      <c r="AL68" s="138" t="s">
        <v>798</v>
      </c>
      <c r="AM68" s="138" t="s">
        <v>832</v>
      </c>
      <c r="AN68" s="138" t="s">
        <v>866</v>
      </c>
      <c r="AO68" s="138" t="s">
        <v>886</v>
      </c>
      <c r="AP68" s="139" t="s">
        <v>159</v>
      </c>
      <c r="AQ68" s="139">
        <f t="shared" si="3"/>
        <v>2013</v>
      </c>
      <c r="AR68" s="141" t="s">
        <v>1018</v>
      </c>
      <c r="AS68" s="128"/>
      <c r="AT68" s="128" t="s">
        <v>1160</v>
      </c>
      <c r="AU68" s="212"/>
    </row>
    <row r="69" spans="1:47" s="118" customFormat="1" x14ac:dyDescent="0.25">
      <c r="A69" s="220"/>
      <c r="B69" s="224">
        <f>IF(F69&lt;&gt;0,MAX($B$8:B68)+1,"")</f>
        <v>62</v>
      </c>
      <c r="C69" s="132">
        <f>IF(F69="","",MAX($C$67:C68)+1)</f>
        <v>3</v>
      </c>
      <c r="D69" s="133">
        <v>29645</v>
      </c>
      <c r="E69" s="128"/>
      <c r="F69" s="128" t="s">
        <v>44</v>
      </c>
      <c r="G69" s="134"/>
      <c r="H69" s="138" t="s">
        <v>684</v>
      </c>
      <c r="I69" s="138"/>
      <c r="J69" s="125">
        <f t="shared" si="0"/>
        <v>1985</v>
      </c>
      <c r="K69" s="125">
        <f t="shared" si="1"/>
        <v>0</v>
      </c>
      <c r="L69" s="136" t="s">
        <v>39</v>
      </c>
      <c r="M69" s="134"/>
      <c r="N69" s="136" t="s">
        <v>352</v>
      </c>
      <c r="O69" s="136" t="s">
        <v>37</v>
      </c>
      <c r="P69" s="128" t="s">
        <v>441</v>
      </c>
      <c r="Q69" s="128" t="s">
        <v>310</v>
      </c>
      <c r="R69" s="128" t="s">
        <v>1005</v>
      </c>
      <c r="S69" s="128" t="s">
        <v>184</v>
      </c>
      <c r="T69" s="128" t="s">
        <v>1006</v>
      </c>
      <c r="U69" s="128" t="s">
        <v>485</v>
      </c>
      <c r="V69" s="128"/>
      <c r="W69" s="128" t="str">
        <f t="shared" si="2"/>
        <v>ĐHTX</v>
      </c>
      <c r="X69" s="128" t="s">
        <v>999</v>
      </c>
      <c r="Y69" s="128" t="s">
        <v>943</v>
      </c>
      <c r="Z69" s="128"/>
      <c r="AA69" s="128"/>
      <c r="AB69" s="128" t="s">
        <v>148</v>
      </c>
      <c r="AC69" s="128" t="s">
        <v>486</v>
      </c>
      <c r="AD69" s="128"/>
      <c r="AE69" s="128"/>
      <c r="AF69" s="128"/>
      <c r="AG69" s="128" t="s">
        <v>587</v>
      </c>
      <c r="AH69" s="128" t="s">
        <v>1007</v>
      </c>
      <c r="AI69" s="137">
        <v>8908006814</v>
      </c>
      <c r="AJ69" s="128">
        <v>351577155</v>
      </c>
      <c r="AK69" s="138" t="s">
        <v>752</v>
      </c>
      <c r="AL69" s="138" t="s">
        <v>780</v>
      </c>
      <c r="AM69" s="138" t="s">
        <v>836</v>
      </c>
      <c r="AN69" s="138" t="s">
        <v>788</v>
      </c>
      <c r="AO69" s="138" t="s">
        <v>891</v>
      </c>
      <c r="AP69" s="646" t="s">
        <v>1351</v>
      </c>
      <c r="AQ69" s="139">
        <f t="shared" si="3"/>
        <v>2018</v>
      </c>
      <c r="AR69" s="141" t="s">
        <v>1008</v>
      </c>
      <c r="AS69" s="128"/>
      <c r="AT69" s="141" t="s">
        <v>1009</v>
      </c>
      <c r="AU69" s="212"/>
    </row>
    <row r="70" spans="1:47" s="118" customFormat="1" x14ac:dyDescent="0.25">
      <c r="A70" s="220"/>
      <c r="B70" s="225">
        <f>IF(F70&lt;&gt;0,MAX($B$8:B69)+1,"")</f>
        <v>63</v>
      </c>
      <c r="C70" s="132">
        <f>IF(F70="","",MAX($C$67:C69)+1)</f>
        <v>4</v>
      </c>
      <c r="D70" s="133">
        <v>17884</v>
      </c>
      <c r="E70" s="128"/>
      <c r="F70" s="128" t="s">
        <v>102</v>
      </c>
      <c r="G70" s="134"/>
      <c r="H70" s="138" t="s">
        <v>685</v>
      </c>
      <c r="I70" s="138"/>
      <c r="J70" s="125">
        <f t="shared" si="0"/>
        <v>1976</v>
      </c>
      <c r="K70" s="125">
        <f t="shared" si="1"/>
        <v>0</v>
      </c>
      <c r="L70" s="136" t="s">
        <v>39</v>
      </c>
      <c r="M70" s="134"/>
      <c r="N70" s="136" t="s">
        <v>342</v>
      </c>
      <c r="O70" s="136" t="s">
        <v>350</v>
      </c>
      <c r="P70" s="128" t="s">
        <v>339</v>
      </c>
      <c r="Q70" s="128" t="s">
        <v>301</v>
      </c>
      <c r="R70" s="128" t="s">
        <v>1021</v>
      </c>
      <c r="S70" s="128" t="s">
        <v>289</v>
      </c>
      <c r="T70" s="128" t="s">
        <v>1022</v>
      </c>
      <c r="U70" s="128" t="s">
        <v>179</v>
      </c>
      <c r="V70" s="128" t="s">
        <v>180</v>
      </c>
      <c r="W70" s="128" t="str">
        <f t="shared" si="2"/>
        <v>ĐHTX</v>
      </c>
      <c r="X70" s="128" t="s">
        <v>952</v>
      </c>
      <c r="Y70" s="128" t="s">
        <v>1013</v>
      </c>
      <c r="Z70" s="128"/>
      <c r="AA70" s="128" t="s">
        <v>636</v>
      </c>
      <c r="AB70" s="128" t="s">
        <v>148</v>
      </c>
      <c r="AC70" s="128"/>
      <c r="AD70" s="128"/>
      <c r="AE70" s="128"/>
      <c r="AF70" s="128"/>
      <c r="AG70" s="128" t="s">
        <v>587</v>
      </c>
      <c r="AH70" s="128" t="s">
        <v>181</v>
      </c>
      <c r="AI70" s="137">
        <v>5003000271</v>
      </c>
      <c r="AJ70" s="128">
        <v>351230947</v>
      </c>
      <c r="AK70" s="138" t="s">
        <v>722</v>
      </c>
      <c r="AL70" s="138" t="s">
        <v>800</v>
      </c>
      <c r="AM70" s="138" t="s">
        <v>800</v>
      </c>
      <c r="AN70" s="138" t="s">
        <v>867</v>
      </c>
      <c r="AO70" s="138" t="s">
        <v>885</v>
      </c>
      <c r="AP70" s="139" t="s">
        <v>178</v>
      </c>
      <c r="AQ70" s="139">
        <f t="shared" si="3"/>
        <v>2008</v>
      </c>
      <c r="AR70" s="141" t="s">
        <v>957</v>
      </c>
      <c r="AS70" s="128"/>
      <c r="AT70" s="128" t="s">
        <v>1161</v>
      </c>
      <c r="AU70" s="212"/>
    </row>
    <row r="71" spans="1:47" s="118" customFormat="1" x14ac:dyDescent="0.25">
      <c r="A71" s="220"/>
      <c r="B71" s="225">
        <f>IF(F71&lt;&gt;0,MAX($B$8:B70)+1,"")</f>
        <v>64</v>
      </c>
      <c r="C71" s="132">
        <f>IF(F71="","",MAX($C$67:C70)+1)</f>
        <v>5</v>
      </c>
      <c r="D71" s="133">
        <v>16185</v>
      </c>
      <c r="E71" s="128"/>
      <c r="F71" s="128" t="s">
        <v>103</v>
      </c>
      <c r="G71" s="134" t="s">
        <v>355</v>
      </c>
      <c r="H71" s="135"/>
      <c r="I71" s="135" t="s">
        <v>686</v>
      </c>
      <c r="J71" s="125">
        <f t="shared" si="0"/>
        <v>0</v>
      </c>
      <c r="K71" s="125">
        <f t="shared" si="1"/>
        <v>1979</v>
      </c>
      <c r="L71" s="227" t="s">
        <v>39</v>
      </c>
      <c r="M71" s="134"/>
      <c r="N71" s="136" t="s">
        <v>342</v>
      </c>
      <c r="O71" s="136" t="s">
        <v>37</v>
      </c>
      <c r="P71" s="128" t="s">
        <v>481</v>
      </c>
      <c r="Q71" s="128" t="s">
        <v>482</v>
      </c>
      <c r="R71" s="128" t="s">
        <v>1019</v>
      </c>
      <c r="S71" s="128" t="s">
        <v>289</v>
      </c>
      <c r="T71" s="128" t="s">
        <v>483</v>
      </c>
      <c r="U71" s="128" t="s">
        <v>545</v>
      </c>
      <c r="V71" s="128"/>
      <c r="W71" s="128" t="str">
        <f t="shared" si="2"/>
        <v>ĐHTX</v>
      </c>
      <c r="X71" s="128" t="s">
        <v>943</v>
      </c>
      <c r="Y71" s="128" t="s">
        <v>943</v>
      </c>
      <c r="Z71" s="128"/>
      <c r="AA71" s="128"/>
      <c r="AB71" s="128" t="s">
        <v>148</v>
      </c>
      <c r="AC71" s="128"/>
      <c r="AD71" s="128"/>
      <c r="AE71" s="128"/>
      <c r="AF71" s="128"/>
      <c r="AG71" s="128" t="s">
        <v>587</v>
      </c>
      <c r="AH71" s="128" t="s">
        <v>484</v>
      </c>
      <c r="AI71" s="137">
        <v>5099036036</v>
      </c>
      <c r="AJ71" s="128">
        <v>351291017</v>
      </c>
      <c r="AK71" s="138" t="s">
        <v>710</v>
      </c>
      <c r="AL71" s="138" t="s">
        <v>792</v>
      </c>
      <c r="AM71" s="138" t="s">
        <v>792</v>
      </c>
      <c r="AN71" s="138" t="s">
        <v>847</v>
      </c>
      <c r="AO71" s="139"/>
      <c r="AP71" s="139"/>
      <c r="AQ71" s="139" t="str">
        <f t="shared" si="3"/>
        <v/>
      </c>
      <c r="AR71" s="128"/>
      <c r="AS71" s="128"/>
      <c r="AT71" s="128" t="s">
        <v>1162</v>
      </c>
      <c r="AU71" s="212"/>
    </row>
    <row r="72" spans="1:47" s="118" customFormat="1" x14ac:dyDescent="0.25">
      <c r="A72" s="220"/>
      <c r="B72" s="225">
        <f>IF(F72&lt;&gt;0,MAX($B$8:B71)+1,"")</f>
        <v>65</v>
      </c>
      <c r="C72" s="132">
        <f>IF(F72="","",MAX($C$67:C71)+1)</f>
        <v>6</v>
      </c>
      <c r="D72" s="133">
        <v>25232</v>
      </c>
      <c r="E72" s="128"/>
      <c r="F72" s="128" t="s">
        <v>104</v>
      </c>
      <c r="G72" s="134" t="s">
        <v>355</v>
      </c>
      <c r="H72" s="135"/>
      <c r="I72" s="135" t="s">
        <v>687</v>
      </c>
      <c r="J72" s="125">
        <f t="shared" si="0"/>
        <v>0</v>
      </c>
      <c r="K72" s="125">
        <f t="shared" si="1"/>
        <v>1982</v>
      </c>
      <c r="L72" s="136" t="s">
        <v>39</v>
      </c>
      <c r="M72" s="134"/>
      <c r="N72" s="136" t="s">
        <v>342</v>
      </c>
      <c r="O72" s="136" t="s">
        <v>37</v>
      </c>
      <c r="P72" s="128" t="s">
        <v>382</v>
      </c>
      <c r="Q72" s="128" t="s">
        <v>288</v>
      </c>
      <c r="R72" s="128" t="s">
        <v>1020</v>
      </c>
      <c r="S72" s="128" t="s">
        <v>247</v>
      </c>
      <c r="T72" s="128" t="s">
        <v>487</v>
      </c>
      <c r="U72" s="128" t="s">
        <v>544</v>
      </c>
      <c r="V72" s="128"/>
      <c r="W72" s="128" t="str">
        <f t="shared" si="2"/>
        <v>ĐHTX</v>
      </c>
      <c r="X72" s="128" t="s">
        <v>943</v>
      </c>
      <c r="Y72" s="128" t="s">
        <v>1013</v>
      </c>
      <c r="Z72" s="128"/>
      <c r="AA72" s="128"/>
      <c r="AB72" s="128" t="s">
        <v>148</v>
      </c>
      <c r="AC72" s="128" t="s">
        <v>230</v>
      </c>
      <c r="AD72" s="128"/>
      <c r="AE72" s="128"/>
      <c r="AF72" s="128"/>
      <c r="AG72" s="128" t="s">
        <v>587</v>
      </c>
      <c r="AH72" s="128" t="s">
        <v>331</v>
      </c>
      <c r="AI72" s="137">
        <v>5006003477</v>
      </c>
      <c r="AJ72" s="128">
        <v>351468093</v>
      </c>
      <c r="AK72" s="138" t="s">
        <v>753</v>
      </c>
      <c r="AL72" s="138" t="s">
        <v>786</v>
      </c>
      <c r="AM72" s="138" t="s">
        <v>786</v>
      </c>
      <c r="AN72" s="138" t="s">
        <v>856</v>
      </c>
      <c r="AO72" s="139"/>
      <c r="AP72" s="139"/>
      <c r="AQ72" s="139" t="str">
        <f t="shared" si="3"/>
        <v/>
      </c>
      <c r="AR72" s="128"/>
      <c r="AS72" s="128"/>
      <c r="AT72" s="128" t="s">
        <v>1163</v>
      </c>
      <c r="AU72" s="212"/>
    </row>
    <row r="73" spans="1:47" s="118" customFormat="1" x14ac:dyDescent="0.25">
      <c r="A73" s="220"/>
      <c r="B73" s="225">
        <f>IF(F73&lt;&gt;0,MAX($B$8:B72)+1,"")</f>
        <v>66</v>
      </c>
      <c r="C73" s="132">
        <f>IF(F73="","",MAX($C$67:C72)+1)</f>
        <v>7</v>
      </c>
      <c r="D73" s="133">
        <v>17429</v>
      </c>
      <c r="E73" s="128"/>
      <c r="F73" s="128" t="s">
        <v>107</v>
      </c>
      <c r="G73" s="134"/>
      <c r="H73" s="138" t="s">
        <v>689</v>
      </c>
      <c r="I73" s="138"/>
      <c r="J73" s="125">
        <f t="shared" ref="J73:J106" si="6">IF(H73=0,0,YEAR(H73))</f>
        <v>1978</v>
      </c>
      <c r="K73" s="125">
        <f t="shared" ref="K73:K106" si="7">IF(I73=0,0,YEAR(I73))</f>
        <v>0</v>
      </c>
      <c r="L73" s="136" t="s">
        <v>39</v>
      </c>
      <c r="M73" s="134"/>
      <c r="N73" s="136" t="s">
        <v>355</v>
      </c>
      <c r="O73" s="136" t="s">
        <v>37</v>
      </c>
      <c r="P73" s="128" t="s">
        <v>339</v>
      </c>
      <c r="Q73" s="128" t="s">
        <v>301</v>
      </c>
      <c r="R73" s="128" t="s">
        <v>967</v>
      </c>
      <c r="S73" s="128" t="s">
        <v>289</v>
      </c>
      <c r="T73" s="128" t="s">
        <v>488</v>
      </c>
      <c r="U73" s="128" t="s">
        <v>218</v>
      </c>
      <c r="V73" s="128"/>
      <c r="W73" s="128" t="str">
        <f t="shared" si="2"/>
        <v>ĐHTX</v>
      </c>
      <c r="X73" s="128" t="s">
        <v>969</v>
      </c>
      <c r="Y73" s="128" t="s">
        <v>969</v>
      </c>
      <c r="Z73" s="128"/>
      <c r="AA73" s="128"/>
      <c r="AB73" s="128" t="s">
        <v>202</v>
      </c>
      <c r="AC73" s="128"/>
      <c r="AD73" s="128"/>
      <c r="AE73" s="128"/>
      <c r="AF73" s="128"/>
      <c r="AG73" s="128" t="s">
        <v>587</v>
      </c>
      <c r="AH73" s="128" t="s">
        <v>138</v>
      </c>
      <c r="AI73" s="137">
        <v>5099037056</v>
      </c>
      <c r="AJ73" s="128">
        <v>351284587</v>
      </c>
      <c r="AK73" s="138" t="s">
        <v>755</v>
      </c>
      <c r="AL73" s="138" t="s">
        <v>805</v>
      </c>
      <c r="AM73" s="138" t="s">
        <v>968</v>
      </c>
      <c r="AN73" s="138" t="s">
        <v>868</v>
      </c>
      <c r="AO73" s="139"/>
      <c r="AP73" s="139"/>
      <c r="AQ73" s="139" t="str">
        <f t="shared" ref="AQ73:AQ106" si="8">IF(AO73="","",YEAR(AO73))</f>
        <v/>
      </c>
      <c r="AR73" s="128"/>
      <c r="AS73" s="128"/>
      <c r="AT73" s="141" t="s">
        <v>970</v>
      </c>
      <c r="AU73" s="212"/>
    </row>
    <row r="74" spans="1:47" s="118" customFormat="1" x14ac:dyDescent="0.25">
      <c r="A74" s="220"/>
      <c r="B74" s="225">
        <f>IF(F74&lt;&gt;0,MAX($B$8:B73)+1,"")</f>
        <v>67</v>
      </c>
      <c r="C74" s="132">
        <f>IF(F74="","",MAX($C$67:C73)+1)</f>
        <v>8</v>
      </c>
      <c r="D74" s="133" t="s">
        <v>355</v>
      </c>
      <c r="E74" s="128"/>
      <c r="F74" s="128" t="s">
        <v>108</v>
      </c>
      <c r="G74" s="134" t="s">
        <v>355</v>
      </c>
      <c r="H74" s="135"/>
      <c r="I74" s="135" t="s">
        <v>690</v>
      </c>
      <c r="J74" s="125">
        <f t="shared" si="6"/>
        <v>0</v>
      </c>
      <c r="K74" s="125">
        <f t="shared" si="7"/>
        <v>1978</v>
      </c>
      <c r="L74" s="136" t="s">
        <v>39</v>
      </c>
      <c r="M74" s="134"/>
      <c r="N74" s="136" t="s">
        <v>355</v>
      </c>
      <c r="O74" s="136" t="s">
        <v>364</v>
      </c>
      <c r="P74" s="128" t="s">
        <v>1102</v>
      </c>
      <c r="Q74" s="128" t="s">
        <v>312</v>
      </c>
      <c r="R74" s="128" t="s">
        <v>365</v>
      </c>
      <c r="S74" s="128" t="s">
        <v>142</v>
      </c>
      <c r="T74" s="128" t="s">
        <v>1104</v>
      </c>
      <c r="U74" s="128" t="s">
        <v>143</v>
      </c>
      <c r="V74" s="128"/>
      <c r="W74" s="128" t="str">
        <f t="shared" si="2"/>
        <v>ĐHTX</v>
      </c>
      <c r="X74" s="128" t="s">
        <v>947</v>
      </c>
      <c r="Y74" s="128" t="s">
        <v>947</v>
      </c>
      <c r="Z74" s="128"/>
      <c r="AA74" s="128"/>
      <c r="AB74" s="128" t="s">
        <v>145</v>
      </c>
      <c r="AC74" s="128" t="s">
        <v>144</v>
      </c>
      <c r="AD74" s="128"/>
      <c r="AE74" s="128"/>
      <c r="AF74" s="128"/>
      <c r="AG74" s="128" t="s">
        <v>587</v>
      </c>
      <c r="AH74" s="128" t="s">
        <v>1105</v>
      </c>
      <c r="AI74" s="137">
        <v>5002002318</v>
      </c>
      <c r="AJ74" s="128">
        <v>351174475</v>
      </c>
      <c r="AK74" s="138" t="s">
        <v>756</v>
      </c>
      <c r="AL74" s="138" t="s">
        <v>776</v>
      </c>
      <c r="AM74" s="138" t="s">
        <v>1103</v>
      </c>
      <c r="AN74" s="138" t="s">
        <v>848</v>
      </c>
      <c r="AO74" s="138" t="s">
        <v>893</v>
      </c>
      <c r="AP74" s="139" t="s">
        <v>146</v>
      </c>
      <c r="AQ74" s="139">
        <f t="shared" si="8"/>
        <v>2006</v>
      </c>
      <c r="AR74" s="141" t="s">
        <v>1106</v>
      </c>
      <c r="AS74" s="128"/>
      <c r="AT74" s="128" t="s">
        <v>1164</v>
      </c>
      <c r="AU74" s="212"/>
    </row>
    <row r="75" spans="1:47" s="118" customFormat="1" x14ac:dyDescent="0.25">
      <c r="A75" s="220"/>
      <c r="B75" s="128">
        <f>IF(F75&lt;&gt;0,MAX($B$8:B74)+1,"")</f>
        <v>68</v>
      </c>
      <c r="C75" s="132">
        <f>IF(F75="","",MAX($C$67:C74)+1)</f>
        <v>9</v>
      </c>
      <c r="D75" s="133">
        <v>1214</v>
      </c>
      <c r="E75" s="128"/>
      <c r="F75" s="128" t="s">
        <v>110</v>
      </c>
      <c r="G75" s="134"/>
      <c r="H75" s="138" t="s">
        <v>582</v>
      </c>
      <c r="I75" s="138"/>
      <c r="J75" s="125">
        <f t="shared" si="6"/>
        <v>1964</v>
      </c>
      <c r="K75" s="125">
        <f t="shared" si="7"/>
        <v>0</v>
      </c>
      <c r="L75" s="136" t="s">
        <v>39</v>
      </c>
      <c r="M75" s="134"/>
      <c r="N75" s="136" t="s">
        <v>342</v>
      </c>
      <c r="O75" s="136" t="s">
        <v>37</v>
      </c>
      <c r="P75" s="128" t="s">
        <v>583</v>
      </c>
      <c r="Q75" s="128" t="s">
        <v>493</v>
      </c>
      <c r="R75" s="128" t="s">
        <v>494</v>
      </c>
      <c r="S75" s="128" t="s">
        <v>243</v>
      </c>
      <c r="T75" s="128" t="s">
        <v>491</v>
      </c>
      <c r="U75" s="128" t="s">
        <v>492</v>
      </c>
      <c r="V75" s="128"/>
      <c r="W75" s="128" t="str">
        <f t="shared" si="2"/>
        <v>ĐHTX</v>
      </c>
      <c r="X75" s="128" t="s">
        <v>953</v>
      </c>
      <c r="Y75" s="128" t="s">
        <v>1014</v>
      </c>
      <c r="Z75" s="128"/>
      <c r="AA75" s="128"/>
      <c r="AB75" s="128"/>
      <c r="AC75" s="128"/>
      <c r="AD75" s="128"/>
      <c r="AE75" s="128"/>
      <c r="AF75" s="128"/>
      <c r="AG75" s="128" t="s">
        <v>587</v>
      </c>
      <c r="AH75" s="128"/>
      <c r="AI75" s="137">
        <v>5096017226</v>
      </c>
      <c r="AJ75" s="128">
        <v>351319107</v>
      </c>
      <c r="AK75" s="203" t="s">
        <v>588</v>
      </c>
      <c r="AL75" s="138" t="s">
        <v>589</v>
      </c>
      <c r="AM75" s="138" t="s">
        <v>590</v>
      </c>
      <c r="AN75" s="138" t="s">
        <v>1395</v>
      </c>
      <c r="AO75" s="139"/>
      <c r="AP75" s="139"/>
      <c r="AQ75" s="139" t="str">
        <f t="shared" si="8"/>
        <v/>
      </c>
      <c r="AR75" s="128"/>
      <c r="AS75" s="128"/>
      <c r="AT75" s="128" t="s">
        <v>1165</v>
      </c>
      <c r="AU75" s="212"/>
    </row>
    <row r="76" spans="1:47" s="118" customFormat="1" x14ac:dyDescent="0.25">
      <c r="A76" s="220"/>
      <c r="B76" s="225">
        <f>IF(F76&lt;&gt;0,MAX($B$8:B75)+1,"")</f>
        <v>69</v>
      </c>
      <c r="C76" s="132">
        <f>IF(F76="","",MAX($C$67:C75)+1)</f>
        <v>10</v>
      </c>
      <c r="D76" s="133">
        <v>1232</v>
      </c>
      <c r="E76" s="128"/>
      <c r="F76" s="128" t="s">
        <v>111</v>
      </c>
      <c r="G76" s="134" t="s">
        <v>355</v>
      </c>
      <c r="H76" s="135"/>
      <c r="I76" s="135" t="s">
        <v>692</v>
      </c>
      <c r="J76" s="125">
        <f t="shared" si="6"/>
        <v>0</v>
      </c>
      <c r="K76" s="125">
        <f t="shared" si="7"/>
        <v>1970</v>
      </c>
      <c r="L76" s="136" t="s">
        <v>39</v>
      </c>
      <c r="M76" s="134"/>
      <c r="N76" s="136"/>
      <c r="O76" s="136" t="s">
        <v>37</v>
      </c>
      <c r="P76" s="128" t="s">
        <v>382</v>
      </c>
      <c r="Q76" s="128" t="s">
        <v>288</v>
      </c>
      <c r="R76" s="128" t="s">
        <v>496</v>
      </c>
      <c r="S76" s="128" t="s">
        <v>497</v>
      </c>
      <c r="T76" s="128" t="s">
        <v>498</v>
      </c>
      <c r="U76" s="128" t="s">
        <v>154</v>
      </c>
      <c r="V76" s="128"/>
      <c r="W76" s="128" t="str">
        <f t="shared" ref="W76:W107" si="9">IF(AND(T76&lt;&gt;"",U76="",V76=""),LEFT(T76,4),IF(AND(T76&lt;&gt;"",U76&lt;&gt;"",V76=""),LEFT(U76,4),LEFT(V76,4)))</f>
        <v>ĐHTX</v>
      </c>
      <c r="X76" s="128" t="s">
        <v>979</v>
      </c>
      <c r="Y76" s="128" t="s">
        <v>953</v>
      </c>
      <c r="Z76" s="128"/>
      <c r="AA76" s="128"/>
      <c r="AB76" s="128" t="s">
        <v>57</v>
      </c>
      <c r="AC76" s="128"/>
      <c r="AD76" s="128"/>
      <c r="AE76" s="128"/>
      <c r="AF76" s="128"/>
      <c r="AG76" s="128" t="s">
        <v>587</v>
      </c>
      <c r="AH76" s="128" t="s">
        <v>499</v>
      </c>
      <c r="AI76" s="137">
        <v>5096017222</v>
      </c>
      <c r="AJ76" s="128">
        <v>350862167</v>
      </c>
      <c r="AK76" s="138" t="s">
        <v>985</v>
      </c>
      <c r="AL76" s="138" t="s">
        <v>802</v>
      </c>
      <c r="AM76" s="138" t="s">
        <v>834</v>
      </c>
      <c r="AN76" s="138" t="s">
        <v>870</v>
      </c>
      <c r="AO76" s="139"/>
      <c r="AP76" s="139"/>
      <c r="AQ76" s="139" t="str">
        <f t="shared" si="8"/>
        <v/>
      </c>
      <c r="AR76" s="128"/>
      <c r="AS76" s="128"/>
      <c r="AT76" s="141" t="s">
        <v>986</v>
      </c>
      <c r="AU76" s="212"/>
    </row>
    <row r="77" spans="1:47" s="118" customFormat="1" x14ac:dyDescent="0.25">
      <c r="A77" s="220"/>
      <c r="B77" s="225">
        <f>IF(F77&lt;&gt;0,MAX($B$8:B76)+1,"")</f>
        <v>70</v>
      </c>
      <c r="C77" s="132">
        <f>IF(F77="","",MAX($C$67:C76)+1)</f>
        <v>11</v>
      </c>
      <c r="D77" s="133">
        <v>21103</v>
      </c>
      <c r="E77" s="128"/>
      <c r="F77" s="128" t="s">
        <v>124</v>
      </c>
      <c r="G77" s="134" t="s">
        <v>355</v>
      </c>
      <c r="H77" s="135"/>
      <c r="I77" s="135" t="s">
        <v>688</v>
      </c>
      <c r="J77" s="125">
        <f t="shared" si="6"/>
        <v>0</v>
      </c>
      <c r="K77" s="125">
        <f t="shared" si="7"/>
        <v>1981</v>
      </c>
      <c r="L77" s="227" t="s">
        <v>39</v>
      </c>
      <c r="M77" s="134"/>
      <c r="N77" s="136" t="s">
        <v>352</v>
      </c>
      <c r="O77" s="136" t="s">
        <v>37</v>
      </c>
      <c r="P77" s="128" t="s">
        <v>441</v>
      </c>
      <c r="Q77" s="128" t="s">
        <v>315</v>
      </c>
      <c r="R77" s="128" t="s">
        <v>990</v>
      </c>
      <c r="S77" s="128" t="s">
        <v>133</v>
      </c>
      <c r="T77" s="128" t="s">
        <v>991</v>
      </c>
      <c r="U77" s="128" t="s">
        <v>541</v>
      </c>
      <c r="V77" s="128"/>
      <c r="W77" s="128" t="str">
        <f t="shared" si="9"/>
        <v>ĐHTX</v>
      </c>
      <c r="X77" s="128" t="s">
        <v>979</v>
      </c>
      <c r="Y77" s="128" t="s">
        <v>953</v>
      </c>
      <c r="Z77" s="128"/>
      <c r="AA77" s="128" t="s">
        <v>51</v>
      </c>
      <c r="AB77" s="128" t="s">
        <v>131</v>
      </c>
      <c r="AC77" s="128" t="s">
        <v>239</v>
      </c>
      <c r="AD77" s="128"/>
      <c r="AE77" s="128"/>
      <c r="AF77" s="128"/>
      <c r="AG77" s="128" t="s">
        <v>587</v>
      </c>
      <c r="AH77" s="128" t="s">
        <v>136</v>
      </c>
      <c r="AI77" s="137">
        <v>5003000277</v>
      </c>
      <c r="AJ77" s="128">
        <v>351421420</v>
      </c>
      <c r="AK77" s="138" t="s">
        <v>758</v>
      </c>
      <c r="AL77" s="138" t="s">
        <v>791</v>
      </c>
      <c r="AM77" s="641" t="s">
        <v>793</v>
      </c>
      <c r="AN77" s="138" t="s">
        <v>857</v>
      </c>
      <c r="AO77" s="138" t="s">
        <v>875</v>
      </c>
      <c r="AP77" s="139" t="s">
        <v>132</v>
      </c>
      <c r="AQ77" s="139">
        <f t="shared" si="8"/>
        <v>2004</v>
      </c>
      <c r="AR77" s="141" t="s">
        <v>992</v>
      </c>
      <c r="AS77" s="128"/>
      <c r="AT77" s="141" t="s">
        <v>1166</v>
      </c>
      <c r="AU77" s="212"/>
    </row>
    <row r="78" spans="1:47" s="118" customFormat="1" x14ac:dyDescent="0.25">
      <c r="A78" s="220"/>
      <c r="B78" s="225">
        <f>IF(F78&lt;&gt;0,MAX($B$8:B77)+1,"")</f>
        <v>71</v>
      </c>
      <c r="C78" s="132">
        <f>IF(F78="","",MAX($C$67:C77)+1)</f>
        <v>12</v>
      </c>
      <c r="D78" s="133">
        <v>28530</v>
      </c>
      <c r="E78" s="128"/>
      <c r="F78" s="128" t="s">
        <v>112</v>
      </c>
      <c r="G78" s="134" t="s">
        <v>355</v>
      </c>
      <c r="H78" s="135"/>
      <c r="I78" s="135" t="s">
        <v>693</v>
      </c>
      <c r="J78" s="125">
        <f t="shared" si="6"/>
        <v>0</v>
      </c>
      <c r="K78" s="125">
        <f t="shared" si="7"/>
        <v>1981</v>
      </c>
      <c r="L78" s="136" t="s">
        <v>39</v>
      </c>
      <c r="M78" s="134"/>
      <c r="N78" s="136" t="s">
        <v>352</v>
      </c>
      <c r="O78" s="136" t="s">
        <v>37</v>
      </c>
      <c r="P78" s="128" t="s">
        <v>372</v>
      </c>
      <c r="Q78" s="128" t="s">
        <v>313</v>
      </c>
      <c r="R78" s="128" t="s">
        <v>987</v>
      </c>
      <c r="S78" s="128" t="s">
        <v>247</v>
      </c>
      <c r="T78" s="128" t="s">
        <v>140</v>
      </c>
      <c r="U78" s="128" t="s">
        <v>540</v>
      </c>
      <c r="V78" s="128"/>
      <c r="W78" s="128" t="str">
        <f t="shared" si="9"/>
        <v>ĐHTX</v>
      </c>
      <c r="X78" s="128" t="s">
        <v>979</v>
      </c>
      <c r="Y78" s="128" t="s">
        <v>953</v>
      </c>
      <c r="Z78" s="128"/>
      <c r="AA78" s="128" t="s">
        <v>636</v>
      </c>
      <c r="AB78" s="128" t="s">
        <v>137</v>
      </c>
      <c r="AC78" s="128" t="s">
        <v>139</v>
      </c>
      <c r="AD78" s="128"/>
      <c r="AE78" s="128"/>
      <c r="AF78" s="128"/>
      <c r="AG78" s="128" t="s">
        <v>587</v>
      </c>
      <c r="AH78" s="128" t="s">
        <v>138</v>
      </c>
      <c r="AI78" s="137">
        <v>5006003482</v>
      </c>
      <c r="AJ78" s="128">
        <v>351421471</v>
      </c>
      <c r="AK78" s="138" t="s">
        <v>759</v>
      </c>
      <c r="AL78" s="138" t="s">
        <v>778</v>
      </c>
      <c r="AM78" s="138" t="s">
        <v>778</v>
      </c>
      <c r="AN78" s="138" t="s">
        <v>780</v>
      </c>
      <c r="AO78" s="138" t="s">
        <v>895</v>
      </c>
      <c r="AP78" s="139" t="s">
        <v>141</v>
      </c>
      <c r="AQ78" s="139">
        <f t="shared" si="8"/>
        <v>2010</v>
      </c>
      <c r="AR78" s="141" t="s">
        <v>988</v>
      </c>
      <c r="AS78" s="128"/>
      <c r="AT78" s="141" t="s">
        <v>989</v>
      </c>
      <c r="AU78" s="212"/>
    </row>
    <row r="79" spans="1:47" s="118" customFormat="1" x14ac:dyDescent="0.25">
      <c r="A79" s="220"/>
      <c r="B79" s="225">
        <f>IF(F79&lt;&gt;0,MAX($B$8:B78)+1,"")</f>
        <v>72</v>
      </c>
      <c r="C79" s="132">
        <f>IF(F79="","",MAX($C$67:C78)+1)</f>
        <v>13</v>
      </c>
      <c r="D79" s="133" t="s">
        <v>355</v>
      </c>
      <c r="E79" s="128"/>
      <c r="F79" s="128" t="s">
        <v>570</v>
      </c>
      <c r="G79" s="134" t="s">
        <v>355</v>
      </c>
      <c r="H79" s="135"/>
      <c r="I79" s="135" t="s">
        <v>703</v>
      </c>
      <c r="J79" s="125">
        <f t="shared" si="6"/>
        <v>0</v>
      </c>
      <c r="K79" s="125">
        <f t="shared" si="7"/>
        <v>1986</v>
      </c>
      <c r="L79" s="136" t="s">
        <v>39</v>
      </c>
      <c r="M79" s="134"/>
      <c r="N79" s="136" t="s">
        <v>352</v>
      </c>
      <c r="O79" s="136" t="s">
        <v>37</v>
      </c>
      <c r="P79" s="128" t="s">
        <v>971</v>
      </c>
      <c r="Q79" s="128" t="s">
        <v>972</v>
      </c>
      <c r="R79" s="128" t="s">
        <v>973</v>
      </c>
      <c r="S79" s="128" t="s">
        <v>976</v>
      </c>
      <c r="T79" s="128" t="s">
        <v>977</v>
      </c>
      <c r="U79" s="128" t="s">
        <v>978</v>
      </c>
      <c r="V79" s="128"/>
      <c r="W79" s="128" t="str">
        <f>IF(AND(T79&lt;&gt;"",U79="",V79=""),LEFT(T79,4),IF(AND(T79&lt;&gt;"",U79&lt;&gt;"",V79=""),LEFT(U79,4),LEFT(V79,4)))</f>
        <v>ĐHTX</v>
      </c>
      <c r="X79" s="128" t="s">
        <v>979</v>
      </c>
      <c r="Y79" s="128" t="s">
        <v>953</v>
      </c>
      <c r="Z79" s="128"/>
      <c r="AA79" s="128"/>
      <c r="AB79" s="128" t="s">
        <v>137</v>
      </c>
      <c r="AC79" s="128" t="s">
        <v>981</v>
      </c>
      <c r="AD79" s="128"/>
      <c r="AE79" s="128"/>
      <c r="AF79" s="128"/>
      <c r="AG79" s="128" t="s">
        <v>587</v>
      </c>
      <c r="AH79" s="128" t="s">
        <v>982</v>
      </c>
      <c r="AI79" s="137">
        <v>8908007005</v>
      </c>
      <c r="AJ79" s="128">
        <v>351733096</v>
      </c>
      <c r="AK79" s="230" t="s">
        <v>974</v>
      </c>
      <c r="AL79" s="230" t="s">
        <v>771</v>
      </c>
      <c r="AM79" s="230" t="s">
        <v>975</v>
      </c>
      <c r="AN79" s="230" t="s">
        <v>798</v>
      </c>
      <c r="AO79" s="230"/>
      <c r="AP79" s="139"/>
      <c r="AQ79" s="139" t="str">
        <f t="shared" si="8"/>
        <v/>
      </c>
      <c r="AR79" s="141" t="s">
        <v>983</v>
      </c>
      <c r="AS79" s="128"/>
      <c r="AT79" s="141" t="s">
        <v>984</v>
      </c>
      <c r="AU79" s="212"/>
    </row>
    <row r="80" spans="1:47" s="118" customFormat="1" x14ac:dyDescent="0.25">
      <c r="A80" s="220"/>
      <c r="B80" s="225">
        <f>IF(F80&lt;&gt;0,MAX($B$8:B79)+1,"")</f>
        <v>73</v>
      </c>
      <c r="C80" s="132">
        <f>IF(F80="","",MAX($C$67:C79)+1)</f>
        <v>14</v>
      </c>
      <c r="D80" s="133" t="s">
        <v>355</v>
      </c>
      <c r="E80" s="128"/>
      <c r="F80" s="128" t="s">
        <v>924</v>
      </c>
      <c r="G80" s="134"/>
      <c r="H80" s="135" t="s">
        <v>933</v>
      </c>
      <c r="I80" s="135"/>
      <c r="J80" s="125">
        <f t="shared" si="6"/>
        <v>1983</v>
      </c>
      <c r="K80" s="125">
        <f t="shared" si="7"/>
        <v>0</v>
      </c>
      <c r="L80" s="136" t="s">
        <v>39</v>
      </c>
      <c r="M80" s="134"/>
      <c r="N80" s="136" t="s">
        <v>352</v>
      </c>
      <c r="O80" s="136" t="s">
        <v>37</v>
      </c>
      <c r="P80" s="128" t="s">
        <v>339</v>
      </c>
      <c r="Q80" s="128" t="s">
        <v>301</v>
      </c>
      <c r="R80" s="128" t="s">
        <v>993</v>
      </c>
      <c r="S80" s="128" t="s">
        <v>996</v>
      </c>
      <c r="T80" s="128" t="s">
        <v>997</v>
      </c>
      <c r="U80" s="128" t="s">
        <v>998</v>
      </c>
      <c r="V80" s="128"/>
      <c r="W80" s="128" t="str">
        <f>IF(AND(T80&lt;&gt;"",U80="",V80=""),LEFT(T80,4),IF(AND(T80&lt;&gt;"",U80&lt;&gt;"",V80=""),LEFT(U80,4),LEFT(V80,4)))</f>
        <v>ĐHTX</v>
      </c>
      <c r="X80" s="128" t="s">
        <v>999</v>
      </c>
      <c r="Y80" s="128" t="s">
        <v>943</v>
      </c>
      <c r="Z80" s="128"/>
      <c r="AA80" s="128" t="s">
        <v>254</v>
      </c>
      <c r="AB80" s="128" t="s">
        <v>137</v>
      </c>
      <c r="AC80" s="128"/>
      <c r="AD80" s="128"/>
      <c r="AE80" s="128"/>
      <c r="AF80" s="128"/>
      <c r="AG80" s="128" t="s">
        <v>587</v>
      </c>
      <c r="AH80" s="128" t="s">
        <v>1000</v>
      </c>
      <c r="AI80" s="137">
        <v>8908006801</v>
      </c>
      <c r="AJ80" s="128">
        <v>351467450</v>
      </c>
      <c r="AK80" s="230" t="s">
        <v>995</v>
      </c>
      <c r="AL80" s="230" t="s">
        <v>788</v>
      </c>
      <c r="AM80" s="230" t="s">
        <v>994</v>
      </c>
      <c r="AN80" s="230" t="s">
        <v>771</v>
      </c>
      <c r="AO80" s="230" t="s">
        <v>1002</v>
      </c>
      <c r="AP80" s="188">
        <v>31042164</v>
      </c>
      <c r="AQ80" s="139">
        <f t="shared" si="8"/>
        <v>2010</v>
      </c>
      <c r="AR80" s="141" t="s">
        <v>1001</v>
      </c>
      <c r="AS80" s="141" t="s">
        <v>1003</v>
      </c>
      <c r="AT80" s="141" t="s">
        <v>1004</v>
      </c>
      <c r="AU80" s="212"/>
    </row>
    <row r="81" spans="1:47" s="118" customFormat="1" x14ac:dyDescent="0.25">
      <c r="A81" s="220"/>
      <c r="B81" s="225">
        <f>IF(F81&lt;&gt;0,MAX($B$8:B80)+1,"")</f>
        <v>74</v>
      </c>
      <c r="C81" s="132">
        <f>IF(F81="","",MAX($C$67:C80)+1)</f>
        <v>15</v>
      </c>
      <c r="D81" s="133">
        <v>1203</v>
      </c>
      <c r="E81" s="128"/>
      <c r="F81" s="128" t="s">
        <v>100</v>
      </c>
      <c r="G81" s="134" t="s">
        <v>355</v>
      </c>
      <c r="H81" s="135"/>
      <c r="I81" s="135" t="s">
        <v>682</v>
      </c>
      <c r="J81" s="125">
        <f t="shared" si="6"/>
        <v>0</v>
      </c>
      <c r="K81" s="125">
        <f t="shared" si="7"/>
        <v>1966</v>
      </c>
      <c r="L81" s="136" t="s">
        <v>39</v>
      </c>
      <c r="M81" s="134"/>
      <c r="N81" s="136" t="s">
        <v>342</v>
      </c>
      <c r="O81" s="136" t="s">
        <v>37</v>
      </c>
      <c r="P81" s="128" t="s">
        <v>435</v>
      </c>
      <c r="Q81" s="128" t="s">
        <v>302</v>
      </c>
      <c r="R81" s="128" t="s">
        <v>1010</v>
      </c>
      <c r="S81" s="128" t="s">
        <v>321</v>
      </c>
      <c r="T81" s="128" t="s">
        <v>477</v>
      </c>
      <c r="U81" s="128" t="s">
        <v>542</v>
      </c>
      <c r="V81" s="128"/>
      <c r="W81" s="128" t="str">
        <f>IF(AND(T81&lt;&gt;"",U81="",V81=""),LEFT(T81,4),IF(AND(T81&lt;&gt;"",U81&lt;&gt;"",V81=""),LEFT(U81,4),LEFT(V81,4)))</f>
        <v>ĐHTX</v>
      </c>
      <c r="X81" s="128" t="s">
        <v>999</v>
      </c>
      <c r="Y81" s="128" t="s">
        <v>943</v>
      </c>
      <c r="Z81" s="128"/>
      <c r="AA81" s="128"/>
      <c r="AB81" s="128" t="s">
        <v>209</v>
      </c>
      <c r="AC81" s="128"/>
      <c r="AD81" s="128"/>
      <c r="AE81" s="128"/>
      <c r="AF81" s="128"/>
      <c r="AG81" s="128" t="s">
        <v>587</v>
      </c>
      <c r="AH81" s="128" t="s">
        <v>478</v>
      </c>
      <c r="AI81" s="137">
        <v>5096017214</v>
      </c>
      <c r="AJ81" s="128">
        <v>351562964</v>
      </c>
      <c r="AK81" s="138" t="s">
        <v>588</v>
      </c>
      <c r="AL81" s="138" t="s">
        <v>799</v>
      </c>
      <c r="AM81" s="138" t="s">
        <v>799</v>
      </c>
      <c r="AN81" s="138" t="s">
        <v>849</v>
      </c>
      <c r="AO81" s="139"/>
      <c r="AP81" s="139"/>
      <c r="AQ81" s="139" t="str">
        <f t="shared" si="8"/>
        <v/>
      </c>
      <c r="AR81" s="128"/>
      <c r="AS81" s="128"/>
      <c r="AT81" s="141" t="s">
        <v>1011</v>
      </c>
      <c r="AU81" s="212"/>
    </row>
    <row r="82" spans="1:47" s="118" customFormat="1" x14ac:dyDescent="0.25">
      <c r="A82" s="220"/>
      <c r="B82" s="225">
        <f>IF(F82&lt;&gt;0,MAX($B$8:B81)+1,"")</f>
        <v>75</v>
      </c>
      <c r="C82" s="132">
        <f>IF(F82="","",MAX($C$67:C81)+1)</f>
        <v>16</v>
      </c>
      <c r="D82" s="367">
        <v>1208</v>
      </c>
      <c r="E82" s="364" t="s">
        <v>1178</v>
      </c>
      <c r="F82" s="364" t="s">
        <v>109</v>
      </c>
      <c r="G82" s="368" t="s">
        <v>355</v>
      </c>
      <c r="H82" s="398"/>
      <c r="I82" s="398" t="s">
        <v>691</v>
      </c>
      <c r="J82" s="370">
        <f t="shared" si="6"/>
        <v>0</v>
      </c>
      <c r="K82" s="370">
        <f t="shared" si="7"/>
        <v>1964</v>
      </c>
      <c r="L82" s="371" t="s">
        <v>39</v>
      </c>
      <c r="M82" s="368"/>
      <c r="N82" s="371" t="s">
        <v>342</v>
      </c>
      <c r="O82" s="371" t="s">
        <v>350</v>
      </c>
      <c r="P82" s="364" t="s">
        <v>286</v>
      </c>
      <c r="Q82" s="364" t="s">
        <v>311</v>
      </c>
      <c r="R82" s="364" t="s">
        <v>495</v>
      </c>
      <c r="S82" s="364" t="s">
        <v>150</v>
      </c>
      <c r="T82" s="364" t="s">
        <v>151</v>
      </c>
      <c r="U82" s="364" t="s">
        <v>152</v>
      </c>
      <c r="V82" s="364" t="s">
        <v>154</v>
      </c>
      <c r="W82" s="364" t="str">
        <f>IF(AND(T82&lt;&gt;"",U82="",V82=""),LEFT(T82,4),IF(AND(T82&lt;&gt;"",U82&lt;&gt;"",V82=""),LEFT(U82,4),LEFT(V82,4)))</f>
        <v>ĐHTX</v>
      </c>
      <c r="X82" s="364" t="s">
        <v>953</v>
      </c>
      <c r="Y82" s="364" t="s">
        <v>953</v>
      </c>
      <c r="Z82" s="364"/>
      <c r="AA82" s="364" t="s">
        <v>149</v>
      </c>
      <c r="AB82" s="364" t="s">
        <v>148</v>
      </c>
      <c r="AC82" s="364"/>
      <c r="AD82" s="364"/>
      <c r="AE82" s="364"/>
      <c r="AF82" s="364"/>
      <c r="AG82" s="364" t="s">
        <v>587</v>
      </c>
      <c r="AH82" s="364" t="s">
        <v>147</v>
      </c>
      <c r="AI82" s="373">
        <v>5096017208</v>
      </c>
      <c r="AJ82" s="364">
        <v>350540854</v>
      </c>
      <c r="AK82" s="369" t="s">
        <v>757</v>
      </c>
      <c r="AL82" s="369" t="s">
        <v>801</v>
      </c>
      <c r="AM82" s="369" t="s">
        <v>833</v>
      </c>
      <c r="AN82" s="369" t="s">
        <v>869</v>
      </c>
      <c r="AO82" s="369" t="s">
        <v>894</v>
      </c>
      <c r="AP82" s="374" t="s">
        <v>155</v>
      </c>
      <c r="AQ82" s="374">
        <f t="shared" si="8"/>
        <v>2001</v>
      </c>
      <c r="AR82" s="364"/>
      <c r="AS82" s="364"/>
      <c r="AT82" s="642"/>
      <c r="AU82" s="212"/>
    </row>
    <row r="83" spans="1:47" s="118" customFormat="1" x14ac:dyDescent="0.25">
      <c r="A83" s="220"/>
      <c r="B83" s="142">
        <f>IF(F83&lt;&gt;0,MAX($B$8:B82)+1,"")</f>
        <v>76</v>
      </c>
      <c r="C83" s="143">
        <f>IF(F83="","",MAX($C$67:C82)+1)</f>
        <v>17</v>
      </c>
      <c r="D83" s="357" t="s">
        <v>355</v>
      </c>
      <c r="E83" s="358" t="s">
        <v>1385</v>
      </c>
      <c r="F83" s="358" t="s">
        <v>566</v>
      </c>
      <c r="G83" s="359" t="s">
        <v>355</v>
      </c>
      <c r="H83" s="360"/>
      <c r="I83" s="361" t="s">
        <v>1386</v>
      </c>
      <c r="J83" s="362">
        <f t="shared" si="6"/>
        <v>0</v>
      </c>
      <c r="K83" s="362">
        <f t="shared" si="7"/>
        <v>1962</v>
      </c>
      <c r="L83" s="363" t="s">
        <v>39</v>
      </c>
      <c r="M83" s="359"/>
      <c r="N83" s="363" t="s">
        <v>355</v>
      </c>
      <c r="O83" s="363" t="s">
        <v>37</v>
      </c>
      <c r="P83" s="358" t="s">
        <v>1387</v>
      </c>
      <c r="Q83" s="358" t="s">
        <v>1388</v>
      </c>
      <c r="R83" s="358" t="s">
        <v>1389</v>
      </c>
      <c r="S83" s="358" t="s">
        <v>1390</v>
      </c>
      <c r="T83" s="358" t="s">
        <v>1391</v>
      </c>
      <c r="U83" s="358" t="s">
        <v>1392</v>
      </c>
      <c r="V83" s="358"/>
      <c r="W83" s="358" t="str">
        <f>IF(AND(T83&lt;&gt;"",U83="",V83=""),LEFT(T83,4),IF(AND(T83&lt;&gt;"",U83&lt;&gt;"",V83=""),LEFT(U83,4),LEFT(V83,4)))</f>
        <v>ĐHTX</v>
      </c>
      <c r="X83" s="358" t="s">
        <v>943</v>
      </c>
      <c r="Y83" s="358" t="s">
        <v>943</v>
      </c>
      <c r="Z83" s="358"/>
      <c r="AA83" s="358"/>
      <c r="AB83" s="358" t="s">
        <v>134</v>
      </c>
      <c r="AC83" s="358"/>
      <c r="AD83" s="358"/>
      <c r="AE83" s="358"/>
      <c r="AF83" s="358"/>
      <c r="AG83" s="358" t="s">
        <v>587</v>
      </c>
      <c r="AH83" s="358"/>
      <c r="AI83" s="365">
        <v>5096017215</v>
      </c>
      <c r="AJ83" s="358">
        <v>350585690</v>
      </c>
      <c r="AK83" s="376" t="s">
        <v>1393</v>
      </c>
      <c r="AL83" s="366">
        <v>30942</v>
      </c>
      <c r="AM83" s="376" t="s">
        <v>1394</v>
      </c>
      <c r="AN83" s="366">
        <v>32264</v>
      </c>
      <c r="AO83" s="361" t="s">
        <v>879</v>
      </c>
      <c r="AP83" s="360"/>
      <c r="AQ83" s="360">
        <f t="shared" si="8"/>
        <v>2007</v>
      </c>
      <c r="AR83" s="358"/>
      <c r="AS83" s="358"/>
      <c r="AT83" s="650"/>
      <c r="AU83" s="212"/>
    </row>
    <row r="84" spans="1:47" x14ac:dyDescent="0.25">
      <c r="A84" s="220"/>
      <c r="B84" s="151">
        <f>IF(F84&lt;&gt;0,MAX($B$8:B83)+1,"")</f>
        <v>77</v>
      </c>
      <c r="C84" s="152">
        <f>IF(F84="","",1)</f>
        <v>1</v>
      </c>
      <c r="D84" s="153">
        <v>1217</v>
      </c>
      <c r="E84" s="151"/>
      <c r="F84" s="151" t="s">
        <v>113</v>
      </c>
      <c r="G84" s="154"/>
      <c r="H84" s="195" t="s">
        <v>932</v>
      </c>
      <c r="I84" s="195"/>
      <c r="J84" s="156">
        <f t="shared" si="6"/>
        <v>1968</v>
      </c>
      <c r="K84" s="156">
        <f t="shared" si="7"/>
        <v>0</v>
      </c>
      <c r="L84" s="157" t="s">
        <v>39</v>
      </c>
      <c r="M84" s="154"/>
      <c r="N84" s="157" t="s">
        <v>342</v>
      </c>
      <c r="O84" s="157" t="s">
        <v>364</v>
      </c>
      <c r="P84" s="151" t="s">
        <v>441</v>
      </c>
      <c r="Q84" s="151" t="s">
        <v>310</v>
      </c>
      <c r="R84" s="151" t="s">
        <v>500</v>
      </c>
      <c r="S84" s="151" t="s">
        <v>501</v>
      </c>
      <c r="T84" s="151" t="s">
        <v>502</v>
      </c>
      <c r="U84" s="151" t="s">
        <v>503</v>
      </c>
      <c r="V84" s="151" t="s">
        <v>505</v>
      </c>
      <c r="W84" s="151" t="str">
        <f t="shared" si="9"/>
        <v>ĐHTC</v>
      </c>
      <c r="X84" s="151" t="s">
        <v>945</v>
      </c>
      <c r="Y84" s="151" t="s">
        <v>945</v>
      </c>
      <c r="Z84" s="151"/>
      <c r="AA84" s="151"/>
      <c r="AB84" s="151" t="s">
        <v>211</v>
      </c>
      <c r="AC84" s="151"/>
      <c r="AD84" s="151"/>
      <c r="AE84" s="151"/>
      <c r="AF84" s="151"/>
      <c r="AG84" s="151" t="s">
        <v>587</v>
      </c>
      <c r="AH84" s="151"/>
      <c r="AI84" s="159">
        <v>5096017207</v>
      </c>
      <c r="AJ84" s="151">
        <v>350774208</v>
      </c>
      <c r="AK84" s="155" t="s">
        <v>760</v>
      </c>
      <c r="AL84" s="155" t="s">
        <v>803</v>
      </c>
      <c r="AM84" s="155" t="s">
        <v>835</v>
      </c>
      <c r="AN84" s="155" t="s">
        <v>871</v>
      </c>
      <c r="AO84" s="160"/>
      <c r="AP84" s="160"/>
      <c r="AQ84" s="160" t="str">
        <f t="shared" si="8"/>
        <v/>
      </c>
      <c r="AR84" s="151"/>
      <c r="AS84" s="151"/>
      <c r="AT84" s="151" t="s">
        <v>1167</v>
      </c>
      <c r="AU84" s="212"/>
    </row>
    <row r="85" spans="1:47" x14ac:dyDescent="0.25">
      <c r="A85" s="220"/>
      <c r="B85" s="224">
        <f>IF(F85&lt;&gt;0,MAX($B$8:B84)+1,"")</f>
        <v>78</v>
      </c>
      <c r="C85" s="163">
        <f>IF(F85="","",MAX($C$84:C84)+1)</f>
        <v>2</v>
      </c>
      <c r="D85" s="164">
        <v>29918</v>
      </c>
      <c r="E85" s="162"/>
      <c r="F85" s="162" t="s">
        <v>114</v>
      </c>
      <c r="G85" s="165"/>
      <c r="H85" s="166" t="s">
        <v>694</v>
      </c>
      <c r="I85" s="166"/>
      <c r="J85" s="167">
        <f t="shared" si="6"/>
        <v>1981</v>
      </c>
      <c r="K85" s="167">
        <f t="shared" si="7"/>
        <v>0</v>
      </c>
      <c r="L85" s="168" t="s">
        <v>39</v>
      </c>
      <c r="M85" s="165"/>
      <c r="N85" s="168" t="s">
        <v>355</v>
      </c>
      <c r="O85" s="168" t="s">
        <v>364</v>
      </c>
      <c r="P85" s="162" t="s">
        <v>1088</v>
      </c>
      <c r="Q85" s="162" t="s">
        <v>506</v>
      </c>
      <c r="R85" s="172" t="s">
        <v>507</v>
      </c>
      <c r="S85" s="162" t="s">
        <v>508</v>
      </c>
      <c r="T85" s="162" t="s">
        <v>509</v>
      </c>
      <c r="U85" s="162" t="s">
        <v>510</v>
      </c>
      <c r="V85" s="162"/>
      <c r="W85" s="162" t="str">
        <f t="shared" si="9"/>
        <v>ĐHTC</v>
      </c>
      <c r="X85" s="162" t="s">
        <v>945</v>
      </c>
      <c r="Y85" s="162" t="s">
        <v>945</v>
      </c>
      <c r="Z85" s="162"/>
      <c r="AA85" s="162"/>
      <c r="AB85" s="162" t="s">
        <v>148</v>
      </c>
      <c r="AC85" s="162"/>
      <c r="AD85" s="162"/>
      <c r="AE85" s="162"/>
      <c r="AF85" s="162"/>
      <c r="AG85" s="162" t="s">
        <v>587</v>
      </c>
      <c r="AH85" s="162" t="s">
        <v>191</v>
      </c>
      <c r="AI85" s="170">
        <v>8908006812</v>
      </c>
      <c r="AJ85" s="162">
        <v>351386816</v>
      </c>
      <c r="AK85" s="166" t="s">
        <v>761</v>
      </c>
      <c r="AL85" s="166" t="s">
        <v>780</v>
      </c>
      <c r="AM85" s="166" t="s">
        <v>836</v>
      </c>
      <c r="AN85" s="166" t="s">
        <v>788</v>
      </c>
      <c r="AO85" s="171"/>
      <c r="AP85" s="171"/>
      <c r="AQ85" s="171" t="str">
        <f t="shared" si="8"/>
        <v/>
      </c>
      <c r="AR85" s="162"/>
      <c r="AS85" s="162"/>
      <c r="AT85" s="639"/>
      <c r="AU85" s="212"/>
    </row>
    <row r="86" spans="1:47" x14ac:dyDescent="0.25">
      <c r="A86" s="220"/>
      <c r="B86" s="162">
        <f>IF(F86&lt;&gt;0,MAX($B$8:B85)+1,"")</f>
        <v>79</v>
      </c>
      <c r="C86" s="163">
        <f>IF(F86="","",MAX($C$84:C85)+1)</f>
        <v>3</v>
      </c>
      <c r="D86" s="164">
        <v>18665</v>
      </c>
      <c r="E86" s="162"/>
      <c r="F86" s="162" t="s">
        <v>115</v>
      </c>
      <c r="G86" s="165"/>
      <c r="H86" s="166" t="s">
        <v>695</v>
      </c>
      <c r="I86" s="166"/>
      <c r="J86" s="167">
        <f t="shared" si="6"/>
        <v>1981</v>
      </c>
      <c r="K86" s="167">
        <f t="shared" si="7"/>
        <v>0</v>
      </c>
      <c r="L86" s="168" t="s">
        <v>39</v>
      </c>
      <c r="M86" s="165"/>
      <c r="N86" s="168" t="s">
        <v>424</v>
      </c>
      <c r="O86" s="168" t="s">
        <v>37</v>
      </c>
      <c r="P86" s="162" t="s">
        <v>435</v>
      </c>
      <c r="Q86" s="162" t="s">
        <v>302</v>
      </c>
      <c r="R86" s="162" t="s">
        <v>383</v>
      </c>
      <c r="S86" s="162" t="s">
        <v>133</v>
      </c>
      <c r="T86" s="162" t="s">
        <v>511</v>
      </c>
      <c r="U86" s="162" t="s">
        <v>309</v>
      </c>
      <c r="V86" s="162"/>
      <c r="W86" s="162" t="str">
        <f t="shared" si="9"/>
        <v>ĐHCT</v>
      </c>
      <c r="X86" s="162" t="s">
        <v>945</v>
      </c>
      <c r="Y86" s="162" t="s">
        <v>945</v>
      </c>
      <c r="Z86" s="162"/>
      <c r="AA86" s="162"/>
      <c r="AB86" s="162" t="s">
        <v>134</v>
      </c>
      <c r="AC86" s="162"/>
      <c r="AD86" s="162"/>
      <c r="AE86" s="162"/>
      <c r="AF86" s="162"/>
      <c r="AG86" s="162" t="s">
        <v>587</v>
      </c>
      <c r="AH86" s="162" t="s">
        <v>157</v>
      </c>
      <c r="AI86" s="170">
        <v>5007002478</v>
      </c>
      <c r="AJ86" s="162">
        <v>351360733</v>
      </c>
      <c r="AK86" s="166" t="s">
        <v>762</v>
      </c>
      <c r="AL86" s="166" t="s">
        <v>804</v>
      </c>
      <c r="AM86" s="166" t="s">
        <v>837</v>
      </c>
      <c r="AN86" s="166" t="s">
        <v>872</v>
      </c>
      <c r="AO86" s="166" t="s">
        <v>896</v>
      </c>
      <c r="AP86" s="171" t="s">
        <v>183</v>
      </c>
      <c r="AQ86" s="171">
        <f t="shared" si="8"/>
        <v>2011</v>
      </c>
      <c r="AR86" s="162"/>
      <c r="AS86" s="162"/>
      <c r="AT86" s="162" t="s">
        <v>1168</v>
      </c>
      <c r="AU86" s="212"/>
    </row>
    <row r="87" spans="1:47" x14ac:dyDescent="0.25">
      <c r="A87" s="220"/>
      <c r="B87" s="224">
        <f>IF(F87&lt;&gt;0,MAX($B$8:B86)+1,"")</f>
        <v>80</v>
      </c>
      <c r="C87" s="163">
        <f>IF(F87="","",MAX($C$84:C86)+1)</f>
        <v>4</v>
      </c>
      <c r="D87" s="164">
        <v>15267</v>
      </c>
      <c r="E87" s="162"/>
      <c r="F87" s="162" t="s">
        <v>116</v>
      </c>
      <c r="G87" s="165"/>
      <c r="H87" s="166" t="s">
        <v>696</v>
      </c>
      <c r="I87" s="166"/>
      <c r="J87" s="167">
        <f t="shared" si="6"/>
        <v>1979</v>
      </c>
      <c r="K87" s="167">
        <f t="shared" si="7"/>
        <v>0</v>
      </c>
      <c r="L87" s="168" t="s">
        <v>39</v>
      </c>
      <c r="M87" s="165"/>
      <c r="N87" s="168" t="s">
        <v>342</v>
      </c>
      <c r="O87" s="168" t="s">
        <v>37</v>
      </c>
      <c r="P87" s="162" t="s">
        <v>441</v>
      </c>
      <c r="Q87" s="162" t="s">
        <v>310</v>
      </c>
      <c r="R87" s="162" t="s">
        <v>504</v>
      </c>
      <c r="S87" s="162" t="s">
        <v>142</v>
      </c>
      <c r="T87" s="162" t="s">
        <v>226</v>
      </c>
      <c r="U87" s="162" t="s">
        <v>227</v>
      </c>
      <c r="V87" s="162"/>
      <c r="W87" s="162" t="str">
        <f t="shared" si="9"/>
        <v>ĐHCT</v>
      </c>
      <c r="X87" s="162" t="s">
        <v>945</v>
      </c>
      <c r="Y87" s="162" t="s">
        <v>945</v>
      </c>
      <c r="Z87" s="162"/>
      <c r="AA87" s="162" t="s">
        <v>636</v>
      </c>
      <c r="AB87" s="162" t="s">
        <v>134</v>
      </c>
      <c r="AC87" s="162"/>
      <c r="AD87" s="162"/>
      <c r="AE87" s="162"/>
      <c r="AF87" s="162"/>
      <c r="AG87" s="162" t="s">
        <v>587</v>
      </c>
      <c r="AH87" s="162" t="s">
        <v>248</v>
      </c>
      <c r="AI87" s="170">
        <v>5098029452</v>
      </c>
      <c r="AJ87" s="162">
        <v>351310097</v>
      </c>
      <c r="AK87" s="166" t="s">
        <v>763</v>
      </c>
      <c r="AL87" s="166" t="s">
        <v>779</v>
      </c>
      <c r="AM87" s="166" t="s">
        <v>779</v>
      </c>
      <c r="AN87" s="166" t="s">
        <v>868</v>
      </c>
      <c r="AO87" s="166" t="s">
        <v>897</v>
      </c>
      <c r="AP87" s="171" t="s">
        <v>228</v>
      </c>
      <c r="AQ87" s="171">
        <f t="shared" si="8"/>
        <v>2003</v>
      </c>
      <c r="AR87" s="162"/>
      <c r="AS87" s="162"/>
      <c r="AT87" s="639"/>
      <c r="AU87" s="212"/>
    </row>
    <row r="88" spans="1:47" x14ac:dyDescent="0.25">
      <c r="A88" s="220"/>
      <c r="B88" s="229">
        <f>IF(F88&lt;&gt;0,MAX($B$8:B87)+1,"")</f>
        <v>81</v>
      </c>
      <c r="C88" s="163">
        <f>IF(F88="","",MAX($C$84:C87)+1)</f>
        <v>5</v>
      </c>
      <c r="D88" s="164">
        <v>21768</v>
      </c>
      <c r="E88" s="162"/>
      <c r="F88" s="162" t="s">
        <v>117</v>
      </c>
      <c r="G88" s="165" t="s">
        <v>355</v>
      </c>
      <c r="H88" s="192"/>
      <c r="I88" s="192" t="s">
        <v>697</v>
      </c>
      <c r="J88" s="167">
        <f t="shared" si="6"/>
        <v>0</v>
      </c>
      <c r="K88" s="167">
        <f t="shared" si="7"/>
        <v>1979</v>
      </c>
      <c r="L88" s="228" t="s">
        <v>39</v>
      </c>
      <c r="M88" s="165"/>
      <c r="N88" s="168" t="s">
        <v>342</v>
      </c>
      <c r="O88" s="168" t="s">
        <v>414</v>
      </c>
      <c r="P88" s="162" t="s">
        <v>286</v>
      </c>
      <c r="Q88" s="162" t="s">
        <v>311</v>
      </c>
      <c r="R88" s="162" t="s">
        <v>433</v>
      </c>
      <c r="S88" s="162" t="s">
        <v>133</v>
      </c>
      <c r="T88" s="162" t="s">
        <v>238</v>
      </c>
      <c r="U88" s="162" t="s">
        <v>240</v>
      </c>
      <c r="V88" s="162"/>
      <c r="W88" s="162" t="str">
        <f t="shared" si="9"/>
        <v>ĐHTC</v>
      </c>
      <c r="X88" s="162" t="s">
        <v>954</v>
      </c>
      <c r="Y88" s="162" t="s">
        <v>954</v>
      </c>
      <c r="Z88" s="162"/>
      <c r="AA88" s="162" t="s">
        <v>959</v>
      </c>
      <c r="AB88" s="162" t="s">
        <v>148</v>
      </c>
      <c r="AC88" s="162" t="s">
        <v>239</v>
      </c>
      <c r="AD88" s="162"/>
      <c r="AE88" s="162"/>
      <c r="AF88" s="162"/>
      <c r="AG88" s="162" t="s">
        <v>587</v>
      </c>
      <c r="AH88" s="162" t="s">
        <v>191</v>
      </c>
      <c r="AI88" s="170">
        <v>5003000275</v>
      </c>
      <c r="AJ88" s="162">
        <v>351417482</v>
      </c>
      <c r="AK88" s="166" t="s">
        <v>710</v>
      </c>
      <c r="AL88" s="166" t="s">
        <v>793</v>
      </c>
      <c r="AM88" s="166" t="s">
        <v>793</v>
      </c>
      <c r="AN88" s="166" t="s">
        <v>859</v>
      </c>
      <c r="AO88" s="166" t="s">
        <v>886</v>
      </c>
      <c r="AP88" s="171" t="s">
        <v>292</v>
      </c>
      <c r="AQ88" s="171">
        <f t="shared" si="8"/>
        <v>2013</v>
      </c>
      <c r="AR88" s="172" t="s">
        <v>957</v>
      </c>
      <c r="AS88" s="229" t="s">
        <v>958</v>
      </c>
      <c r="AT88" s="162" t="s">
        <v>1169</v>
      </c>
      <c r="AU88" s="212"/>
    </row>
    <row r="89" spans="1:47" x14ac:dyDescent="0.25">
      <c r="A89" s="220"/>
      <c r="B89" s="162">
        <f>IF(F89&lt;&gt;0,MAX($B$8:B88)+1,"")</f>
        <v>82</v>
      </c>
      <c r="C89" s="163">
        <f>IF(F89="","",MAX($C$84:C88)+1)</f>
        <v>6</v>
      </c>
      <c r="D89" s="164" t="s">
        <v>355</v>
      </c>
      <c r="E89" s="162"/>
      <c r="F89" s="162" t="s">
        <v>118</v>
      </c>
      <c r="G89" s="165" t="s">
        <v>355</v>
      </c>
      <c r="H89" s="192"/>
      <c r="I89" s="192" t="s">
        <v>698</v>
      </c>
      <c r="J89" s="167">
        <f t="shared" si="6"/>
        <v>0</v>
      </c>
      <c r="K89" s="167">
        <f t="shared" si="7"/>
        <v>1990</v>
      </c>
      <c r="L89" s="168" t="s">
        <v>39</v>
      </c>
      <c r="M89" s="165"/>
      <c r="N89" s="168" t="s">
        <v>434</v>
      </c>
      <c r="O89" s="168" t="s">
        <v>37</v>
      </c>
      <c r="P89" s="162" t="s">
        <v>435</v>
      </c>
      <c r="Q89" s="162" t="s">
        <v>302</v>
      </c>
      <c r="R89" s="162" t="s">
        <v>436</v>
      </c>
      <c r="S89" s="162" t="s">
        <v>437</v>
      </c>
      <c r="T89" s="162" t="s">
        <v>438</v>
      </c>
      <c r="U89" s="162" t="s">
        <v>440</v>
      </c>
      <c r="V89" s="162"/>
      <c r="W89" s="162" t="str">
        <f t="shared" si="9"/>
        <v>ĐHTC</v>
      </c>
      <c r="X89" s="162" t="s">
        <v>954</v>
      </c>
      <c r="Y89" s="162" t="s">
        <v>954</v>
      </c>
      <c r="Z89" s="162"/>
      <c r="AA89" s="162"/>
      <c r="AB89" s="162"/>
      <c r="AC89" s="162"/>
      <c r="AD89" s="162"/>
      <c r="AE89" s="162"/>
      <c r="AF89" s="162"/>
      <c r="AG89" s="162" t="s">
        <v>587</v>
      </c>
      <c r="AH89" s="162"/>
      <c r="AI89" s="170">
        <v>8912008636</v>
      </c>
      <c r="AJ89" s="162">
        <v>351923455</v>
      </c>
      <c r="AK89" s="166" t="s">
        <v>764</v>
      </c>
      <c r="AL89" s="166" t="s">
        <v>787</v>
      </c>
      <c r="AM89" s="166" t="s">
        <v>838</v>
      </c>
      <c r="AN89" s="166" t="s">
        <v>789</v>
      </c>
      <c r="AO89" s="171"/>
      <c r="AP89" s="171"/>
      <c r="AQ89" s="171" t="str">
        <f t="shared" si="8"/>
        <v/>
      </c>
      <c r="AR89" s="162"/>
      <c r="AS89" s="197">
        <v>41169</v>
      </c>
      <c r="AT89" s="162" t="s">
        <v>1170</v>
      </c>
      <c r="AU89" s="212"/>
    </row>
    <row r="90" spans="1:47" x14ac:dyDescent="0.25">
      <c r="A90" s="220"/>
      <c r="B90" s="162">
        <f>IF(F90&lt;&gt;0,MAX($B$8:B89)+1,"")</f>
        <v>83</v>
      </c>
      <c r="C90" s="163">
        <f>IF(F90="","",MAX($C$84:C89)+1)</f>
        <v>7</v>
      </c>
      <c r="D90" s="164">
        <v>29679</v>
      </c>
      <c r="E90" s="162"/>
      <c r="F90" s="162" t="s">
        <v>119</v>
      </c>
      <c r="G90" s="165"/>
      <c r="H90" s="166" t="s">
        <v>699</v>
      </c>
      <c r="I90" s="166"/>
      <c r="J90" s="167">
        <f t="shared" si="6"/>
        <v>1983</v>
      </c>
      <c r="K90" s="167">
        <f t="shared" si="7"/>
        <v>0</v>
      </c>
      <c r="L90" s="168" t="s">
        <v>39</v>
      </c>
      <c r="M90" s="165"/>
      <c r="N90" s="168" t="s">
        <v>434</v>
      </c>
      <c r="O90" s="168" t="s">
        <v>37</v>
      </c>
      <c r="P90" s="162" t="s">
        <v>435</v>
      </c>
      <c r="Q90" s="162" t="s">
        <v>302</v>
      </c>
      <c r="R90" s="162" t="s">
        <v>444</v>
      </c>
      <c r="S90" s="162" t="s">
        <v>257</v>
      </c>
      <c r="T90" s="162" t="s">
        <v>445</v>
      </c>
      <c r="U90" s="162" t="s">
        <v>446</v>
      </c>
      <c r="V90" s="162"/>
      <c r="W90" s="162" t="str">
        <f t="shared" si="9"/>
        <v>ĐHTC</v>
      </c>
      <c r="X90" s="162" t="s">
        <v>955</v>
      </c>
      <c r="Y90" s="162" t="s">
        <v>955</v>
      </c>
      <c r="Z90" s="162"/>
      <c r="AA90" s="162"/>
      <c r="AB90" s="162" t="s">
        <v>202</v>
      </c>
      <c r="AC90" s="162"/>
      <c r="AD90" s="162"/>
      <c r="AE90" s="162"/>
      <c r="AF90" s="162"/>
      <c r="AG90" s="162" t="s">
        <v>587</v>
      </c>
      <c r="AH90" s="162"/>
      <c r="AI90" s="170">
        <v>5007000313</v>
      </c>
      <c r="AJ90" s="162">
        <v>351466707</v>
      </c>
      <c r="AK90" s="166" t="s">
        <v>765</v>
      </c>
      <c r="AL90" s="166" t="s">
        <v>780</v>
      </c>
      <c r="AM90" s="166" t="s">
        <v>839</v>
      </c>
      <c r="AN90" s="166" t="s">
        <v>788</v>
      </c>
      <c r="AO90" s="171"/>
      <c r="AP90" s="171"/>
      <c r="AQ90" s="171" t="str">
        <f t="shared" si="8"/>
        <v/>
      </c>
      <c r="AR90" s="162"/>
      <c r="AS90" s="197"/>
      <c r="AT90" s="162" t="s">
        <v>1171</v>
      </c>
      <c r="AU90" s="212"/>
    </row>
    <row r="91" spans="1:47" x14ac:dyDescent="0.25">
      <c r="A91" s="220"/>
      <c r="B91" s="173">
        <f>IF(F91&lt;&gt;0,MAX($B$8:B90)+1,"")</f>
        <v>84</v>
      </c>
      <c r="C91" s="174">
        <f>IF(F91="","",MAX($C$84:C90)+1)</f>
        <v>8</v>
      </c>
      <c r="D91" s="175">
        <v>23340</v>
      </c>
      <c r="E91" s="173"/>
      <c r="F91" s="173" t="s">
        <v>120</v>
      </c>
      <c r="G91" s="176"/>
      <c r="H91" s="194" t="s">
        <v>700</v>
      </c>
      <c r="I91" s="194"/>
      <c r="J91" s="178">
        <f t="shared" si="6"/>
        <v>1981</v>
      </c>
      <c r="K91" s="178">
        <f t="shared" si="7"/>
        <v>0</v>
      </c>
      <c r="L91" s="179" t="s">
        <v>39</v>
      </c>
      <c r="M91" s="176"/>
      <c r="N91" s="179" t="s">
        <v>352</v>
      </c>
      <c r="O91" s="179" t="s">
        <v>364</v>
      </c>
      <c r="P91" s="173" t="s">
        <v>441</v>
      </c>
      <c r="Q91" s="173" t="s">
        <v>302</v>
      </c>
      <c r="R91" s="173" t="s">
        <v>442</v>
      </c>
      <c r="S91" s="173" t="s">
        <v>133</v>
      </c>
      <c r="T91" s="173" t="s">
        <v>443</v>
      </c>
      <c r="U91" s="173" t="s">
        <v>533</v>
      </c>
      <c r="V91" s="173"/>
      <c r="W91" s="173" t="str">
        <f t="shared" si="9"/>
        <v>ĐHTC</v>
      </c>
      <c r="X91" s="173" t="s">
        <v>955</v>
      </c>
      <c r="Y91" s="173" t="s">
        <v>955</v>
      </c>
      <c r="Z91" s="173"/>
      <c r="AA91" s="173"/>
      <c r="AB91" s="173"/>
      <c r="AC91" s="173"/>
      <c r="AD91" s="173"/>
      <c r="AE91" s="173"/>
      <c r="AF91" s="173"/>
      <c r="AG91" s="173" t="s">
        <v>587</v>
      </c>
      <c r="AH91" s="173"/>
      <c r="AI91" s="180">
        <v>5004003303</v>
      </c>
      <c r="AJ91" s="173">
        <v>351421879</v>
      </c>
      <c r="AK91" s="177" t="s">
        <v>766</v>
      </c>
      <c r="AL91" s="177" t="s">
        <v>791</v>
      </c>
      <c r="AM91" s="177" t="s">
        <v>791</v>
      </c>
      <c r="AN91" s="177" t="s">
        <v>857</v>
      </c>
      <c r="AO91" s="181"/>
      <c r="AP91" s="181"/>
      <c r="AQ91" s="181" t="str">
        <f t="shared" si="8"/>
        <v/>
      </c>
      <c r="AR91" s="173"/>
      <c r="AS91" s="173"/>
      <c r="AT91" s="173" t="s">
        <v>1172</v>
      </c>
      <c r="AU91" s="212"/>
    </row>
    <row r="92" spans="1:47" x14ac:dyDescent="0.25">
      <c r="A92" s="220"/>
      <c r="B92" s="151" t="str">
        <f>IF(F92&lt;&gt;0,MAX($B$8:B91)+1,"")</f>
        <v/>
      </c>
      <c r="C92" s="190"/>
      <c r="D92" s="153"/>
      <c r="E92" s="151"/>
      <c r="F92" s="151"/>
      <c r="G92" s="154"/>
      <c r="H92" s="204"/>
      <c r="I92" s="204"/>
      <c r="J92" s="156">
        <f t="shared" si="6"/>
        <v>0</v>
      </c>
      <c r="K92" s="156">
        <f t="shared" si="7"/>
        <v>0</v>
      </c>
      <c r="L92" s="151"/>
      <c r="M92" s="154"/>
      <c r="N92" s="157"/>
      <c r="O92" s="157"/>
      <c r="P92" s="151"/>
      <c r="Q92" s="151"/>
      <c r="R92" s="151"/>
      <c r="S92" s="151"/>
      <c r="T92" s="151"/>
      <c r="U92" s="151"/>
      <c r="V92" s="151"/>
      <c r="W92" s="151" t="str">
        <f t="shared" si="9"/>
        <v/>
      </c>
      <c r="X92" s="151"/>
      <c r="Y92" s="151"/>
      <c r="Z92" s="151"/>
      <c r="AA92" s="151"/>
      <c r="AB92" s="151"/>
      <c r="AC92" s="151"/>
      <c r="AD92" s="151"/>
      <c r="AE92" s="151"/>
      <c r="AF92" s="151"/>
      <c r="AG92" s="151"/>
      <c r="AH92" s="151"/>
      <c r="AI92" s="159"/>
      <c r="AJ92" s="151"/>
      <c r="AK92" s="160"/>
      <c r="AL92" s="160"/>
      <c r="AM92" s="160"/>
      <c r="AN92" s="160"/>
      <c r="AO92" s="160"/>
      <c r="AP92" s="160"/>
      <c r="AQ92" s="160" t="str">
        <f t="shared" si="8"/>
        <v/>
      </c>
      <c r="AR92" s="151"/>
      <c r="AS92" s="151"/>
      <c r="AT92" s="151"/>
      <c r="AU92" s="212"/>
    </row>
    <row r="93" spans="1:47" x14ac:dyDescent="0.25">
      <c r="A93" s="220"/>
      <c r="B93" s="162" t="str">
        <f>IF(F93&lt;&gt;0,MAX($B$8:B92)+1,"")</f>
        <v/>
      </c>
      <c r="C93" s="191"/>
      <c r="D93" s="164"/>
      <c r="E93" s="162"/>
      <c r="F93" s="162"/>
      <c r="G93" s="165"/>
      <c r="H93" s="205"/>
      <c r="I93" s="205"/>
      <c r="J93" s="167">
        <f t="shared" si="6"/>
        <v>0</v>
      </c>
      <c r="K93" s="167">
        <f t="shared" si="7"/>
        <v>0</v>
      </c>
      <c r="L93" s="162"/>
      <c r="M93" s="165"/>
      <c r="N93" s="168"/>
      <c r="O93" s="168"/>
      <c r="P93" s="162"/>
      <c r="Q93" s="162"/>
      <c r="R93" s="162"/>
      <c r="S93" s="162"/>
      <c r="T93" s="162"/>
      <c r="U93" s="162"/>
      <c r="V93" s="162"/>
      <c r="W93" s="162" t="str">
        <f t="shared" si="9"/>
        <v/>
      </c>
      <c r="X93" s="162"/>
      <c r="Y93" s="162"/>
      <c r="Z93" s="162"/>
      <c r="AA93" s="162"/>
      <c r="AB93" s="162"/>
      <c r="AC93" s="162"/>
      <c r="AD93" s="162"/>
      <c r="AE93" s="162"/>
      <c r="AF93" s="162"/>
      <c r="AG93" s="162"/>
      <c r="AH93" s="162"/>
      <c r="AI93" s="170"/>
      <c r="AJ93" s="162"/>
      <c r="AK93" s="171"/>
      <c r="AL93" s="171"/>
      <c r="AM93" s="171"/>
      <c r="AN93" s="171"/>
      <c r="AO93" s="171"/>
      <c r="AP93" s="171"/>
      <c r="AQ93" s="171" t="str">
        <f t="shared" si="8"/>
        <v/>
      </c>
      <c r="AR93" s="162"/>
      <c r="AS93" s="162"/>
      <c r="AT93" s="162"/>
      <c r="AU93" s="212"/>
    </row>
    <row r="94" spans="1:47" x14ac:dyDescent="0.25">
      <c r="A94" s="220"/>
      <c r="B94" s="162" t="str">
        <f>IF(F94&lt;&gt;0,MAX($B$8:B93)+1,"")</f>
        <v/>
      </c>
      <c r="C94" s="191"/>
      <c r="D94" s="164"/>
      <c r="E94" s="162"/>
      <c r="F94" s="162"/>
      <c r="G94" s="165"/>
      <c r="H94" s="205"/>
      <c r="I94" s="205"/>
      <c r="J94" s="167">
        <f t="shared" si="6"/>
        <v>0</v>
      </c>
      <c r="K94" s="167">
        <f t="shared" si="7"/>
        <v>0</v>
      </c>
      <c r="L94" s="162"/>
      <c r="M94" s="165"/>
      <c r="N94" s="168"/>
      <c r="O94" s="168"/>
      <c r="P94" s="162"/>
      <c r="Q94" s="162"/>
      <c r="R94" s="162"/>
      <c r="S94" s="162"/>
      <c r="T94" s="162"/>
      <c r="U94" s="162"/>
      <c r="V94" s="162"/>
      <c r="W94" s="162" t="str">
        <f t="shared" si="9"/>
        <v/>
      </c>
      <c r="X94" s="162"/>
      <c r="Y94" s="162"/>
      <c r="Z94" s="162"/>
      <c r="AA94" s="162"/>
      <c r="AB94" s="162"/>
      <c r="AC94" s="162"/>
      <c r="AD94" s="162"/>
      <c r="AE94" s="162"/>
      <c r="AF94" s="162"/>
      <c r="AG94" s="162"/>
      <c r="AH94" s="162"/>
      <c r="AI94" s="170"/>
      <c r="AJ94" s="162"/>
      <c r="AK94" s="171"/>
      <c r="AL94" s="171"/>
      <c r="AM94" s="171"/>
      <c r="AN94" s="171"/>
      <c r="AO94" s="171"/>
      <c r="AP94" s="171"/>
      <c r="AQ94" s="171" t="str">
        <f t="shared" si="8"/>
        <v/>
      </c>
      <c r="AR94" s="162"/>
      <c r="AS94" s="162"/>
      <c r="AT94" s="162"/>
      <c r="AU94" s="212"/>
    </row>
    <row r="95" spans="1:47" x14ac:dyDescent="0.25">
      <c r="A95" s="220"/>
      <c r="B95" s="162" t="str">
        <f>IF(F95&lt;&gt;0,MAX($B$8:B94)+1,"")</f>
        <v/>
      </c>
      <c r="C95" s="191"/>
      <c r="D95" s="164"/>
      <c r="E95" s="162"/>
      <c r="F95" s="162"/>
      <c r="G95" s="165"/>
      <c r="H95" s="205"/>
      <c r="I95" s="205"/>
      <c r="J95" s="167">
        <f t="shared" si="6"/>
        <v>0</v>
      </c>
      <c r="K95" s="167">
        <f t="shared" si="7"/>
        <v>0</v>
      </c>
      <c r="L95" s="162"/>
      <c r="M95" s="165"/>
      <c r="N95" s="168"/>
      <c r="O95" s="168"/>
      <c r="P95" s="162"/>
      <c r="Q95" s="162"/>
      <c r="R95" s="162"/>
      <c r="S95" s="162"/>
      <c r="T95" s="162"/>
      <c r="U95" s="162"/>
      <c r="V95" s="162"/>
      <c r="W95" s="162" t="str">
        <f t="shared" si="9"/>
        <v/>
      </c>
      <c r="X95" s="162"/>
      <c r="Y95" s="162"/>
      <c r="Z95" s="162"/>
      <c r="AA95" s="162"/>
      <c r="AB95" s="162"/>
      <c r="AC95" s="162"/>
      <c r="AD95" s="162"/>
      <c r="AE95" s="162"/>
      <c r="AF95" s="162"/>
      <c r="AG95" s="162"/>
      <c r="AH95" s="162"/>
      <c r="AI95" s="170"/>
      <c r="AJ95" s="162"/>
      <c r="AK95" s="171"/>
      <c r="AL95" s="171"/>
      <c r="AM95" s="171"/>
      <c r="AN95" s="171"/>
      <c r="AO95" s="171"/>
      <c r="AP95" s="171"/>
      <c r="AQ95" s="171" t="str">
        <f t="shared" si="8"/>
        <v/>
      </c>
      <c r="AR95" s="162"/>
      <c r="AS95" s="162"/>
      <c r="AT95" s="162"/>
      <c r="AU95" s="212"/>
    </row>
    <row r="96" spans="1:47" x14ac:dyDescent="0.25">
      <c r="A96" s="220"/>
      <c r="B96" s="162" t="str">
        <f>IF(F96&lt;&gt;0,MAX($B$8:B95)+1,"")</f>
        <v/>
      </c>
      <c r="C96" s="191"/>
      <c r="D96" s="164"/>
      <c r="E96" s="162"/>
      <c r="F96" s="162"/>
      <c r="G96" s="165"/>
      <c r="H96" s="205"/>
      <c r="I96" s="205"/>
      <c r="J96" s="167">
        <f t="shared" si="6"/>
        <v>0</v>
      </c>
      <c r="K96" s="167">
        <f t="shared" si="7"/>
        <v>0</v>
      </c>
      <c r="L96" s="162"/>
      <c r="M96" s="165"/>
      <c r="N96" s="168"/>
      <c r="O96" s="168"/>
      <c r="P96" s="162"/>
      <c r="Q96" s="162"/>
      <c r="R96" s="162"/>
      <c r="S96" s="162"/>
      <c r="T96" s="162"/>
      <c r="U96" s="162"/>
      <c r="V96" s="162"/>
      <c r="W96" s="162" t="str">
        <f t="shared" si="9"/>
        <v/>
      </c>
      <c r="X96" s="162"/>
      <c r="Y96" s="162"/>
      <c r="Z96" s="162"/>
      <c r="AA96" s="162"/>
      <c r="AB96" s="162"/>
      <c r="AC96" s="162"/>
      <c r="AD96" s="162"/>
      <c r="AE96" s="162"/>
      <c r="AF96" s="162"/>
      <c r="AG96" s="162"/>
      <c r="AH96" s="162"/>
      <c r="AI96" s="170"/>
      <c r="AJ96" s="162"/>
      <c r="AK96" s="171"/>
      <c r="AL96" s="171"/>
      <c r="AM96" s="171"/>
      <c r="AN96" s="171"/>
      <c r="AO96" s="171"/>
      <c r="AP96" s="171"/>
      <c r="AQ96" s="171" t="str">
        <f t="shared" si="8"/>
        <v/>
      </c>
      <c r="AR96" s="162"/>
      <c r="AS96" s="162"/>
      <c r="AT96" s="162"/>
      <c r="AU96" s="212"/>
    </row>
    <row r="97" spans="1:47" x14ac:dyDescent="0.25">
      <c r="A97" s="220"/>
      <c r="B97" s="162" t="str">
        <f>IF(F97&lt;&gt;0,MAX($B$8:B96)+1,"")</f>
        <v/>
      </c>
      <c r="C97" s="191"/>
      <c r="D97" s="164"/>
      <c r="E97" s="162"/>
      <c r="F97" s="162"/>
      <c r="G97" s="165"/>
      <c r="H97" s="205"/>
      <c r="I97" s="205"/>
      <c r="J97" s="167">
        <f t="shared" si="6"/>
        <v>0</v>
      </c>
      <c r="K97" s="167">
        <f t="shared" si="7"/>
        <v>0</v>
      </c>
      <c r="L97" s="162"/>
      <c r="M97" s="165"/>
      <c r="N97" s="168"/>
      <c r="O97" s="168"/>
      <c r="P97" s="162"/>
      <c r="Q97" s="162"/>
      <c r="R97" s="162"/>
      <c r="S97" s="162"/>
      <c r="T97" s="162"/>
      <c r="U97" s="162"/>
      <c r="V97" s="162"/>
      <c r="W97" s="162" t="str">
        <f t="shared" si="9"/>
        <v/>
      </c>
      <c r="X97" s="162"/>
      <c r="Y97" s="162"/>
      <c r="Z97" s="162"/>
      <c r="AA97" s="162"/>
      <c r="AB97" s="162"/>
      <c r="AC97" s="162"/>
      <c r="AD97" s="162"/>
      <c r="AE97" s="162"/>
      <c r="AF97" s="162"/>
      <c r="AG97" s="162"/>
      <c r="AH97" s="162"/>
      <c r="AI97" s="170"/>
      <c r="AJ97" s="162"/>
      <c r="AK97" s="171"/>
      <c r="AL97" s="171"/>
      <c r="AM97" s="171"/>
      <c r="AN97" s="171"/>
      <c r="AO97" s="171"/>
      <c r="AP97" s="171"/>
      <c r="AQ97" s="171" t="str">
        <f t="shared" si="8"/>
        <v/>
      </c>
      <c r="AR97" s="162"/>
      <c r="AS97" s="162"/>
      <c r="AT97" s="162"/>
      <c r="AU97" s="212"/>
    </row>
    <row r="98" spans="1:47" x14ac:dyDescent="0.25">
      <c r="A98" s="220"/>
      <c r="B98" s="162" t="str">
        <f>IF(F98&lt;&gt;0,MAX($B$8:B97)+1,"")</f>
        <v/>
      </c>
      <c r="C98" s="191"/>
      <c r="D98" s="164"/>
      <c r="E98" s="162"/>
      <c r="F98" s="162"/>
      <c r="G98" s="165"/>
      <c r="H98" s="205"/>
      <c r="I98" s="205"/>
      <c r="J98" s="167">
        <f t="shared" si="6"/>
        <v>0</v>
      </c>
      <c r="K98" s="167">
        <f t="shared" si="7"/>
        <v>0</v>
      </c>
      <c r="L98" s="162"/>
      <c r="M98" s="165"/>
      <c r="N98" s="168"/>
      <c r="O98" s="168"/>
      <c r="P98" s="162"/>
      <c r="Q98" s="162"/>
      <c r="R98" s="162"/>
      <c r="S98" s="162"/>
      <c r="T98" s="162"/>
      <c r="U98" s="162"/>
      <c r="V98" s="162"/>
      <c r="W98" s="162" t="str">
        <f t="shared" si="9"/>
        <v/>
      </c>
      <c r="X98" s="162"/>
      <c r="Y98" s="162"/>
      <c r="Z98" s="162"/>
      <c r="AA98" s="162"/>
      <c r="AB98" s="162"/>
      <c r="AC98" s="162"/>
      <c r="AD98" s="162"/>
      <c r="AE98" s="162"/>
      <c r="AF98" s="162"/>
      <c r="AG98" s="162"/>
      <c r="AH98" s="162"/>
      <c r="AI98" s="170"/>
      <c r="AJ98" s="162"/>
      <c r="AK98" s="171"/>
      <c r="AL98" s="171"/>
      <c r="AM98" s="171"/>
      <c r="AN98" s="171"/>
      <c r="AO98" s="171"/>
      <c r="AP98" s="171"/>
      <c r="AQ98" s="171" t="str">
        <f t="shared" si="8"/>
        <v/>
      </c>
      <c r="AR98" s="162"/>
      <c r="AS98" s="162"/>
      <c r="AT98" s="162"/>
      <c r="AU98" s="212"/>
    </row>
    <row r="99" spans="1:47" x14ac:dyDescent="0.25">
      <c r="A99" s="220"/>
      <c r="B99" s="162" t="str">
        <f>IF(F99&lt;&gt;0,MAX($B$8:B98)+1,"")</f>
        <v/>
      </c>
      <c r="C99" s="191"/>
      <c r="D99" s="164"/>
      <c r="E99" s="162"/>
      <c r="F99" s="162"/>
      <c r="G99" s="165"/>
      <c r="H99" s="205"/>
      <c r="I99" s="205"/>
      <c r="J99" s="167">
        <f t="shared" si="6"/>
        <v>0</v>
      </c>
      <c r="K99" s="167">
        <f t="shared" si="7"/>
        <v>0</v>
      </c>
      <c r="L99" s="162"/>
      <c r="M99" s="165"/>
      <c r="N99" s="168"/>
      <c r="O99" s="168"/>
      <c r="P99" s="162"/>
      <c r="Q99" s="162"/>
      <c r="R99" s="162"/>
      <c r="S99" s="162"/>
      <c r="T99" s="162"/>
      <c r="U99" s="162"/>
      <c r="V99" s="162"/>
      <c r="W99" s="162" t="str">
        <f t="shared" si="9"/>
        <v/>
      </c>
      <c r="X99" s="162"/>
      <c r="Y99" s="162"/>
      <c r="Z99" s="162"/>
      <c r="AA99" s="162"/>
      <c r="AB99" s="162"/>
      <c r="AC99" s="162"/>
      <c r="AD99" s="162"/>
      <c r="AE99" s="162"/>
      <c r="AF99" s="162"/>
      <c r="AG99" s="162"/>
      <c r="AH99" s="162"/>
      <c r="AI99" s="170"/>
      <c r="AJ99" s="162"/>
      <c r="AK99" s="171"/>
      <c r="AL99" s="171"/>
      <c r="AM99" s="171"/>
      <c r="AN99" s="171"/>
      <c r="AO99" s="171"/>
      <c r="AP99" s="171"/>
      <c r="AQ99" s="171" t="str">
        <f t="shared" si="8"/>
        <v/>
      </c>
      <c r="AR99" s="162"/>
      <c r="AS99" s="162"/>
      <c r="AT99" s="162"/>
      <c r="AU99" s="212"/>
    </row>
    <row r="100" spans="1:47" x14ac:dyDescent="0.25">
      <c r="A100" s="220"/>
      <c r="B100" s="162" t="str">
        <f>IF(F100&lt;&gt;0,MAX($B$8:B99)+1,"")</f>
        <v/>
      </c>
      <c r="C100" s="191"/>
      <c r="D100" s="164"/>
      <c r="E100" s="162"/>
      <c r="F100" s="162"/>
      <c r="G100" s="165"/>
      <c r="H100" s="205"/>
      <c r="I100" s="205"/>
      <c r="J100" s="167">
        <f t="shared" si="6"/>
        <v>0</v>
      </c>
      <c r="K100" s="167">
        <f t="shared" si="7"/>
        <v>0</v>
      </c>
      <c r="L100" s="162"/>
      <c r="M100" s="165"/>
      <c r="N100" s="168"/>
      <c r="O100" s="168"/>
      <c r="P100" s="162"/>
      <c r="Q100" s="162"/>
      <c r="R100" s="162"/>
      <c r="S100" s="162"/>
      <c r="T100" s="162"/>
      <c r="U100" s="162"/>
      <c r="V100" s="162"/>
      <c r="W100" s="162" t="str">
        <f t="shared" si="9"/>
        <v/>
      </c>
      <c r="X100" s="162"/>
      <c r="Y100" s="162"/>
      <c r="Z100" s="162"/>
      <c r="AA100" s="162"/>
      <c r="AB100" s="162"/>
      <c r="AC100" s="162"/>
      <c r="AD100" s="162"/>
      <c r="AE100" s="162"/>
      <c r="AF100" s="162"/>
      <c r="AG100" s="162"/>
      <c r="AH100" s="162"/>
      <c r="AI100" s="170"/>
      <c r="AJ100" s="162"/>
      <c r="AK100" s="171"/>
      <c r="AL100" s="171"/>
      <c r="AM100" s="171"/>
      <c r="AN100" s="171"/>
      <c r="AO100" s="171"/>
      <c r="AP100" s="171"/>
      <c r="AQ100" s="171" t="str">
        <f t="shared" si="8"/>
        <v/>
      </c>
      <c r="AR100" s="162"/>
      <c r="AS100" s="162"/>
      <c r="AT100" s="162"/>
      <c r="AU100" s="212"/>
    </row>
    <row r="101" spans="1:47" x14ac:dyDescent="0.25">
      <c r="A101" s="220"/>
      <c r="B101" s="162" t="str">
        <f>IF(F101&lt;&gt;0,MAX($B$8:B100)+1,"")</f>
        <v/>
      </c>
      <c r="C101" s="191"/>
      <c r="D101" s="164"/>
      <c r="E101" s="162"/>
      <c r="F101" s="162"/>
      <c r="G101" s="165"/>
      <c r="H101" s="205"/>
      <c r="I101" s="205"/>
      <c r="J101" s="167">
        <f t="shared" si="6"/>
        <v>0</v>
      </c>
      <c r="K101" s="167">
        <f t="shared" si="7"/>
        <v>0</v>
      </c>
      <c r="L101" s="162"/>
      <c r="M101" s="165"/>
      <c r="N101" s="168"/>
      <c r="O101" s="168"/>
      <c r="P101" s="162"/>
      <c r="Q101" s="162"/>
      <c r="R101" s="162"/>
      <c r="S101" s="162"/>
      <c r="T101" s="162"/>
      <c r="U101" s="162"/>
      <c r="V101" s="162"/>
      <c r="W101" s="162" t="str">
        <f t="shared" si="9"/>
        <v/>
      </c>
      <c r="X101" s="162"/>
      <c r="Y101" s="162"/>
      <c r="Z101" s="162"/>
      <c r="AA101" s="162"/>
      <c r="AB101" s="162"/>
      <c r="AC101" s="162"/>
      <c r="AD101" s="162"/>
      <c r="AE101" s="162"/>
      <c r="AF101" s="162"/>
      <c r="AG101" s="162"/>
      <c r="AH101" s="162"/>
      <c r="AI101" s="170"/>
      <c r="AJ101" s="162"/>
      <c r="AK101" s="171"/>
      <c r="AL101" s="171"/>
      <c r="AM101" s="171"/>
      <c r="AN101" s="171"/>
      <c r="AO101" s="171"/>
      <c r="AP101" s="171"/>
      <c r="AQ101" s="171" t="str">
        <f t="shared" si="8"/>
        <v/>
      </c>
      <c r="AR101" s="162"/>
      <c r="AS101" s="162"/>
      <c r="AT101" s="162"/>
      <c r="AU101" s="212"/>
    </row>
    <row r="102" spans="1:47" x14ac:dyDescent="0.25">
      <c r="A102" s="220"/>
      <c r="B102" s="162" t="str">
        <f>IF(F102&lt;&gt;0,MAX($B$8:B101)+1,"")</f>
        <v/>
      </c>
      <c r="C102" s="191"/>
      <c r="D102" s="164"/>
      <c r="E102" s="162"/>
      <c r="F102" s="162"/>
      <c r="G102" s="165"/>
      <c r="H102" s="205"/>
      <c r="I102" s="205"/>
      <c r="J102" s="167">
        <f t="shared" si="6"/>
        <v>0</v>
      </c>
      <c r="K102" s="167">
        <f t="shared" si="7"/>
        <v>0</v>
      </c>
      <c r="L102" s="162"/>
      <c r="M102" s="165"/>
      <c r="N102" s="168"/>
      <c r="O102" s="168"/>
      <c r="P102" s="162"/>
      <c r="Q102" s="162"/>
      <c r="R102" s="162"/>
      <c r="S102" s="162"/>
      <c r="T102" s="162"/>
      <c r="U102" s="162"/>
      <c r="V102" s="162"/>
      <c r="W102" s="162" t="str">
        <f t="shared" si="9"/>
        <v/>
      </c>
      <c r="X102" s="162"/>
      <c r="Y102" s="162"/>
      <c r="Z102" s="162"/>
      <c r="AA102" s="162"/>
      <c r="AB102" s="162"/>
      <c r="AC102" s="162"/>
      <c r="AD102" s="162"/>
      <c r="AE102" s="162"/>
      <c r="AF102" s="162"/>
      <c r="AG102" s="162"/>
      <c r="AH102" s="162"/>
      <c r="AI102" s="170"/>
      <c r="AJ102" s="162"/>
      <c r="AK102" s="171"/>
      <c r="AL102" s="171"/>
      <c r="AM102" s="171"/>
      <c r="AN102" s="171"/>
      <c r="AO102" s="171"/>
      <c r="AP102" s="171"/>
      <c r="AQ102" s="171" t="str">
        <f t="shared" si="8"/>
        <v/>
      </c>
      <c r="AR102" s="162"/>
      <c r="AS102" s="162"/>
      <c r="AT102" s="162"/>
      <c r="AU102" s="212"/>
    </row>
    <row r="103" spans="1:47" x14ac:dyDescent="0.25">
      <c r="A103" s="220"/>
      <c r="B103" s="162" t="str">
        <f>IF(F103&lt;&gt;0,MAX($B$8:B102)+1,"")</f>
        <v/>
      </c>
      <c r="C103" s="191"/>
      <c r="D103" s="164"/>
      <c r="E103" s="162"/>
      <c r="F103" s="162"/>
      <c r="G103" s="165"/>
      <c r="H103" s="205"/>
      <c r="I103" s="205"/>
      <c r="J103" s="167">
        <f t="shared" si="6"/>
        <v>0</v>
      </c>
      <c r="K103" s="167">
        <f t="shared" si="7"/>
        <v>0</v>
      </c>
      <c r="L103" s="162"/>
      <c r="M103" s="165"/>
      <c r="N103" s="168"/>
      <c r="O103" s="168"/>
      <c r="P103" s="162"/>
      <c r="Q103" s="162"/>
      <c r="R103" s="162"/>
      <c r="S103" s="162"/>
      <c r="T103" s="162"/>
      <c r="U103" s="162"/>
      <c r="V103" s="162"/>
      <c r="W103" s="162" t="str">
        <f t="shared" si="9"/>
        <v/>
      </c>
      <c r="X103" s="162"/>
      <c r="Y103" s="162"/>
      <c r="Z103" s="162"/>
      <c r="AA103" s="162"/>
      <c r="AB103" s="162"/>
      <c r="AC103" s="162"/>
      <c r="AD103" s="162"/>
      <c r="AE103" s="162"/>
      <c r="AF103" s="162"/>
      <c r="AG103" s="162"/>
      <c r="AH103" s="162"/>
      <c r="AI103" s="170"/>
      <c r="AJ103" s="162"/>
      <c r="AK103" s="171"/>
      <c r="AL103" s="171"/>
      <c r="AM103" s="171"/>
      <c r="AN103" s="171"/>
      <c r="AO103" s="171"/>
      <c r="AP103" s="171"/>
      <c r="AQ103" s="171" t="str">
        <f t="shared" si="8"/>
        <v/>
      </c>
      <c r="AR103" s="162"/>
      <c r="AS103" s="162"/>
      <c r="AT103" s="162"/>
      <c r="AU103" s="212"/>
    </row>
    <row r="104" spans="1:47" x14ac:dyDescent="0.25">
      <c r="A104" s="220"/>
      <c r="B104" s="162" t="str">
        <f>IF(F104&lt;&gt;0,MAX($B$8:B103)+1,"")</f>
        <v/>
      </c>
      <c r="C104" s="191"/>
      <c r="D104" s="164"/>
      <c r="E104" s="162"/>
      <c r="F104" s="162"/>
      <c r="G104" s="165"/>
      <c r="H104" s="205"/>
      <c r="I104" s="205"/>
      <c r="J104" s="167">
        <f t="shared" si="6"/>
        <v>0</v>
      </c>
      <c r="K104" s="167">
        <f t="shared" si="7"/>
        <v>0</v>
      </c>
      <c r="L104" s="162"/>
      <c r="M104" s="165"/>
      <c r="N104" s="168"/>
      <c r="O104" s="168"/>
      <c r="P104" s="162"/>
      <c r="Q104" s="162"/>
      <c r="R104" s="162"/>
      <c r="S104" s="162"/>
      <c r="T104" s="162"/>
      <c r="U104" s="162"/>
      <c r="V104" s="162"/>
      <c r="W104" s="162" t="str">
        <f t="shared" si="9"/>
        <v/>
      </c>
      <c r="X104" s="162"/>
      <c r="Y104" s="162"/>
      <c r="Z104" s="162"/>
      <c r="AA104" s="162"/>
      <c r="AB104" s="162"/>
      <c r="AC104" s="162"/>
      <c r="AD104" s="162"/>
      <c r="AE104" s="162"/>
      <c r="AF104" s="162"/>
      <c r="AG104" s="162"/>
      <c r="AH104" s="162"/>
      <c r="AI104" s="170"/>
      <c r="AJ104" s="162"/>
      <c r="AK104" s="171"/>
      <c r="AL104" s="171"/>
      <c r="AM104" s="171"/>
      <c r="AN104" s="171"/>
      <c r="AO104" s="171"/>
      <c r="AP104" s="171"/>
      <c r="AQ104" s="171" t="str">
        <f t="shared" si="8"/>
        <v/>
      </c>
      <c r="AR104" s="162"/>
      <c r="AS104" s="162"/>
      <c r="AT104" s="162"/>
      <c r="AU104" s="212"/>
    </row>
    <row r="105" spans="1:47" x14ac:dyDescent="0.25">
      <c r="A105" s="220"/>
      <c r="B105" s="162" t="str">
        <f>IF(F105&lt;&gt;0,MAX($B$8:B104)+1,"")</f>
        <v/>
      </c>
      <c r="C105" s="191"/>
      <c r="D105" s="164"/>
      <c r="E105" s="162"/>
      <c r="F105" s="162"/>
      <c r="G105" s="165"/>
      <c r="H105" s="205"/>
      <c r="I105" s="205"/>
      <c r="J105" s="167">
        <f t="shared" si="6"/>
        <v>0</v>
      </c>
      <c r="K105" s="167">
        <f t="shared" si="7"/>
        <v>0</v>
      </c>
      <c r="L105" s="162"/>
      <c r="M105" s="165"/>
      <c r="N105" s="168"/>
      <c r="O105" s="168"/>
      <c r="P105" s="162"/>
      <c r="Q105" s="162"/>
      <c r="R105" s="162"/>
      <c r="S105" s="162"/>
      <c r="T105" s="162"/>
      <c r="U105" s="162"/>
      <c r="V105" s="162"/>
      <c r="W105" s="162" t="str">
        <f t="shared" si="9"/>
        <v/>
      </c>
      <c r="X105" s="162"/>
      <c r="Y105" s="162"/>
      <c r="Z105" s="162"/>
      <c r="AA105" s="162"/>
      <c r="AB105" s="162"/>
      <c r="AC105" s="162"/>
      <c r="AD105" s="162"/>
      <c r="AE105" s="162"/>
      <c r="AF105" s="162"/>
      <c r="AG105" s="162"/>
      <c r="AH105" s="162"/>
      <c r="AI105" s="170"/>
      <c r="AJ105" s="162"/>
      <c r="AK105" s="171"/>
      <c r="AL105" s="171"/>
      <c r="AM105" s="171"/>
      <c r="AN105" s="171"/>
      <c r="AO105" s="171"/>
      <c r="AP105" s="171"/>
      <c r="AQ105" s="171" t="str">
        <f t="shared" si="8"/>
        <v/>
      </c>
      <c r="AR105" s="162"/>
      <c r="AS105" s="162"/>
      <c r="AT105" s="162"/>
      <c r="AU105" s="212"/>
    </row>
    <row r="106" spans="1:47" x14ac:dyDescent="0.25">
      <c r="A106" s="220"/>
      <c r="B106" s="162" t="str">
        <f>IF(F106&lt;&gt;0,MAX($B$8:B105)+1,"")</f>
        <v/>
      </c>
      <c r="C106" s="191"/>
      <c r="D106" s="164"/>
      <c r="E106" s="162"/>
      <c r="F106" s="162"/>
      <c r="G106" s="165"/>
      <c r="H106" s="205"/>
      <c r="I106" s="205"/>
      <c r="J106" s="167">
        <f t="shared" si="6"/>
        <v>0</v>
      </c>
      <c r="K106" s="167">
        <f t="shared" si="7"/>
        <v>0</v>
      </c>
      <c r="L106" s="162"/>
      <c r="M106" s="165"/>
      <c r="N106" s="168"/>
      <c r="O106" s="168"/>
      <c r="P106" s="162"/>
      <c r="Q106" s="162"/>
      <c r="R106" s="162"/>
      <c r="S106" s="162"/>
      <c r="T106" s="162"/>
      <c r="U106" s="162"/>
      <c r="V106" s="162"/>
      <c r="W106" s="162" t="str">
        <f t="shared" si="9"/>
        <v/>
      </c>
      <c r="X106" s="162"/>
      <c r="Y106" s="162"/>
      <c r="Z106" s="162"/>
      <c r="AA106" s="162"/>
      <c r="AB106" s="162"/>
      <c r="AC106" s="162"/>
      <c r="AD106" s="162"/>
      <c r="AE106" s="162"/>
      <c r="AF106" s="162"/>
      <c r="AG106" s="162"/>
      <c r="AH106" s="162"/>
      <c r="AI106" s="170"/>
      <c r="AJ106" s="162"/>
      <c r="AK106" s="171"/>
      <c r="AL106" s="171"/>
      <c r="AM106" s="171"/>
      <c r="AN106" s="171"/>
      <c r="AO106" s="171"/>
      <c r="AP106" s="171"/>
      <c r="AQ106" s="171" t="str">
        <f t="shared" si="8"/>
        <v/>
      </c>
      <c r="AR106" s="162"/>
      <c r="AS106" s="162"/>
      <c r="AT106" s="162"/>
      <c r="AU106" s="212"/>
    </row>
    <row r="107" spans="1:47" x14ac:dyDescent="0.25">
      <c r="A107" s="220"/>
      <c r="B107" s="256"/>
      <c r="C107" s="257"/>
      <c r="D107" s="258"/>
      <c r="E107" s="256"/>
      <c r="F107" s="256" t="s">
        <v>41</v>
      </c>
      <c r="G107" s="259">
        <f>COUNTIF(G8:G106,"x")</f>
        <v>49</v>
      </c>
      <c r="H107" s="260">
        <f>COUNTA(H8:H106)</f>
        <v>35</v>
      </c>
      <c r="I107" s="260">
        <f>COUNTA(I8:I106)</f>
        <v>49</v>
      </c>
      <c r="J107" s="260">
        <f>COUNTIF(J8:J106,"&gt;0")</f>
        <v>35</v>
      </c>
      <c r="K107" s="260">
        <f>COUNTIF(K8:K106,"&gt;0")</f>
        <v>49</v>
      </c>
      <c r="L107" s="256"/>
      <c r="M107" s="259"/>
      <c r="N107" s="261"/>
      <c r="O107" s="261"/>
      <c r="P107" s="256"/>
      <c r="Q107" s="256"/>
      <c r="R107" s="256"/>
      <c r="S107" s="256"/>
      <c r="T107" s="256"/>
      <c r="U107" s="256"/>
      <c r="V107" s="256"/>
      <c r="W107" s="256" t="str">
        <f t="shared" si="9"/>
        <v/>
      </c>
      <c r="X107" s="256"/>
      <c r="Y107" s="256"/>
      <c r="Z107" s="256"/>
      <c r="AA107" s="256">
        <f t="shared" ref="AA107:AF107" si="10">COUNTA(AA8:AA106)</f>
        <v>24</v>
      </c>
      <c r="AB107" s="256">
        <f t="shared" si="10"/>
        <v>72</v>
      </c>
      <c r="AC107" s="256">
        <f t="shared" si="10"/>
        <v>36</v>
      </c>
      <c r="AD107" s="256">
        <f t="shared" si="10"/>
        <v>8</v>
      </c>
      <c r="AE107" s="256">
        <f t="shared" si="10"/>
        <v>5</v>
      </c>
      <c r="AF107" s="256">
        <f t="shared" si="10"/>
        <v>5</v>
      </c>
      <c r="AG107" s="256"/>
      <c r="AH107" s="256"/>
      <c r="AI107" s="256"/>
      <c r="AJ107" s="256"/>
      <c r="AK107" s="258"/>
      <c r="AL107" s="258"/>
      <c r="AM107" s="258"/>
      <c r="AN107" s="258"/>
      <c r="AO107" s="256">
        <f>COUNTA(AO8:AO106)</f>
        <v>46</v>
      </c>
      <c r="AP107" s="256">
        <f>COUNTA(AP8:AP106)</f>
        <v>44</v>
      </c>
      <c r="AQ107" s="256"/>
      <c r="AR107" s="256"/>
      <c r="AS107" s="256"/>
      <c r="AT107" s="256"/>
      <c r="AU107" s="212"/>
    </row>
    <row r="108" spans="1:47" ht="7.5" customHeight="1" x14ac:dyDescent="0.25">
      <c r="A108" s="221"/>
      <c r="B108" s="222"/>
      <c r="C108" s="222"/>
      <c r="D108" s="222"/>
      <c r="E108" s="222"/>
      <c r="F108" s="222"/>
      <c r="G108" s="222"/>
      <c r="H108" s="222"/>
      <c r="I108" s="222"/>
      <c r="J108" s="222"/>
      <c r="K108" s="222"/>
      <c r="L108" s="222"/>
      <c r="M108" s="222"/>
      <c r="N108" s="222"/>
      <c r="O108" s="222"/>
      <c r="P108" s="222"/>
      <c r="Q108" s="222"/>
      <c r="R108" s="222"/>
      <c r="S108" s="222"/>
      <c r="T108" s="222"/>
      <c r="U108" s="222"/>
      <c r="V108" s="222"/>
      <c r="W108" s="222"/>
      <c r="X108" s="222"/>
      <c r="Y108" s="222"/>
      <c r="Z108" s="222"/>
      <c r="AA108" s="222"/>
      <c r="AB108" s="222"/>
      <c r="AC108" s="222"/>
      <c r="AD108" s="222"/>
      <c r="AE108" s="222"/>
      <c r="AF108" s="222"/>
      <c r="AG108" s="222"/>
      <c r="AH108" s="222"/>
      <c r="AI108" s="222"/>
      <c r="AJ108" s="222"/>
      <c r="AK108" s="222"/>
      <c r="AL108" s="222"/>
      <c r="AM108" s="222"/>
      <c r="AN108" s="222"/>
      <c r="AO108" s="222"/>
      <c r="AP108" s="222"/>
      <c r="AQ108" s="222"/>
      <c r="AR108" s="222"/>
      <c r="AS108" s="222"/>
      <c r="AT108" s="222"/>
      <c r="AU108" s="223"/>
    </row>
    <row r="109" spans="1:47" x14ac:dyDescent="0.25">
      <c r="B109" s="115" t="str">
        <f>IF(F109="","",MAX($B108:B108)+1)</f>
        <v/>
      </c>
    </row>
  </sheetData>
  <autoFilter ref="B7:AT107"/>
  <dataConsolidate/>
  <mergeCells count="44">
    <mergeCell ref="R4:R6"/>
    <mergeCell ref="W5:W6"/>
    <mergeCell ref="S5:S6"/>
    <mergeCell ref="AJ5:AJ6"/>
    <mergeCell ref="AK5:AK6"/>
    <mergeCell ref="AI4:AI6"/>
    <mergeCell ref="AJ4:AK4"/>
    <mergeCell ref="T5:T6"/>
    <mergeCell ref="U5:U6"/>
    <mergeCell ref="X5:X6"/>
    <mergeCell ref="Y5:Y6"/>
    <mergeCell ref="AF5:AF6"/>
    <mergeCell ref="AH4:AH6"/>
    <mergeCell ref="V5:V6"/>
    <mergeCell ref="AG4:AG6"/>
    <mergeCell ref="AC5:AC6"/>
    <mergeCell ref="AO5:AQ5"/>
    <mergeCell ref="AT4:AT6"/>
    <mergeCell ref="AL5:AL6"/>
    <mergeCell ref="AM5:AM6"/>
    <mergeCell ref="AN5:AN6"/>
    <mergeCell ref="AR5:AR6"/>
    <mergeCell ref="AS5:AS6"/>
    <mergeCell ref="AL4:AS4"/>
    <mergeCell ref="B4:B6"/>
    <mergeCell ref="D4:D6"/>
    <mergeCell ref="F4:F6"/>
    <mergeCell ref="Q4:Q6"/>
    <mergeCell ref="E4:E6"/>
    <mergeCell ref="G4:G6"/>
    <mergeCell ref="C4:C6"/>
    <mergeCell ref="H4:I5"/>
    <mergeCell ref="J4:K5"/>
    <mergeCell ref="L4:L6"/>
    <mergeCell ref="M4:M6"/>
    <mergeCell ref="N4:N6"/>
    <mergeCell ref="O4:O6"/>
    <mergeCell ref="P4:P6"/>
    <mergeCell ref="S4:AF4"/>
    <mergeCell ref="AE5:AE6"/>
    <mergeCell ref="Z5:Z6"/>
    <mergeCell ref="AB5:AB6"/>
    <mergeCell ref="AD5:AD6"/>
    <mergeCell ref="AA5:AA6"/>
  </mergeCells>
  <conditionalFormatting sqref="D84:D107 D44:D49 D30:D41 D8:D19 D61 D68:D78 D51:D58">
    <cfRule type="containsText" dxfId="61" priority="74" operator="containsText" text="x">
      <formula>NOT(ISERROR(SEARCH("x",D8)))</formula>
    </cfRule>
  </conditionalFormatting>
  <conditionalFormatting sqref="X52:X59 Z30:AT41 Y51:Y59 E30:W33 E52:W58 E59:F59 E80:S80 E20:F21 E67:K67 E34:K34 E43:K43 E50:K50 M67:W67 E88:K88 E71:K71 E77:K77 E51:X51 E35:Y41 E42:AT42 E60:AT66 E15:AT19 E81:AT87 M34:Y34 M50:AT50 E89:AT107 M88:AT88 E72:AT76 M71:AT71 E78:AT79 M77:AT77 E68:AT70 M59:AT59 U80:AT80 H20:AT20 H21:X21 M43:AT43 E44:AT49 Z51:AT58 E22:AT29 E8:AF14 AH8:AT14">
    <cfRule type="containsText" dxfId="60" priority="73" operator="containsText" text="x">
      <formula>NOT(ISERROR(SEARCH("x",E8)))</formula>
    </cfRule>
  </conditionalFormatting>
  <conditionalFormatting sqref="D59">
    <cfRule type="containsText" dxfId="59" priority="71" operator="containsText" text="x">
      <formula>NOT(ISERROR(SEARCH("x",D59)))</formula>
    </cfRule>
  </conditionalFormatting>
  <conditionalFormatting sqref="H59:K59">
    <cfRule type="containsText" dxfId="58" priority="70" operator="containsText" text="x">
      <formula>NOT(ISERROR(SEARCH("x",H59)))</formula>
    </cfRule>
  </conditionalFormatting>
  <conditionalFormatting sqref="G59">
    <cfRule type="containsText" dxfId="57" priority="69" operator="containsText" text="x">
      <formula>NOT(ISERROR(SEARCH("x",G59)))</formula>
    </cfRule>
  </conditionalFormatting>
  <conditionalFormatting sqref="D79">
    <cfRule type="containsText" dxfId="56" priority="66" operator="containsText" text="x">
      <formula>NOT(ISERROR(SEARCH("x",D79)))</formula>
    </cfRule>
  </conditionalFormatting>
  <conditionalFormatting sqref="D42">
    <cfRule type="containsText" dxfId="55" priority="64" operator="containsText" text="x">
      <formula>NOT(ISERROR(SEARCH("x",D42)))</formula>
    </cfRule>
  </conditionalFormatting>
  <conditionalFormatting sqref="D80">
    <cfRule type="containsText" dxfId="54" priority="60" operator="containsText" text="x">
      <formula>NOT(ISERROR(SEARCH("x",D80)))</formula>
    </cfRule>
  </conditionalFormatting>
  <conditionalFormatting sqref="D20">
    <cfRule type="containsText" dxfId="53" priority="56" operator="containsText" text="x">
      <formula>NOT(ISERROR(SEARCH("x",D20)))</formula>
    </cfRule>
  </conditionalFormatting>
  <conditionalFormatting sqref="G21">
    <cfRule type="containsText" dxfId="52" priority="51" operator="containsText" text="x">
      <formula>NOT(ISERROR(SEARCH("x",G21)))</formula>
    </cfRule>
  </conditionalFormatting>
  <conditionalFormatting sqref="G20">
    <cfRule type="containsText" dxfId="51" priority="54" operator="containsText" text="x">
      <formula>NOT(ISERROR(SEARCH("x",G20)))</formula>
    </cfRule>
  </conditionalFormatting>
  <conditionalFormatting sqref="D21">
    <cfRule type="containsText" dxfId="50" priority="53" operator="containsText" text="x">
      <formula>NOT(ISERROR(SEARCH("x",D21)))</formula>
    </cfRule>
  </conditionalFormatting>
  <conditionalFormatting sqref="X22:X33 Z21:AT21 Y21:Y33">
    <cfRule type="containsText" dxfId="49" priority="52" operator="containsText" text="x">
      <formula>NOT(ISERROR(SEARCH("x",X21)))</formula>
    </cfRule>
  </conditionalFormatting>
  <conditionalFormatting sqref="D22:D23">
    <cfRule type="containsText" dxfId="48" priority="50" operator="containsText" text="x">
      <formula>NOT(ISERROR(SEARCH("x",D22)))</formula>
    </cfRule>
  </conditionalFormatting>
  <conditionalFormatting sqref="D24">
    <cfRule type="containsText" dxfId="47" priority="48" operator="containsText" text="x">
      <formula>NOT(ISERROR(SEARCH("x",D24)))</formula>
    </cfRule>
  </conditionalFormatting>
  <conditionalFormatting sqref="D25">
    <cfRule type="containsText" dxfId="46" priority="46" operator="containsText" text="x">
      <formula>NOT(ISERROR(SEARCH("x",D25)))</formula>
    </cfRule>
  </conditionalFormatting>
  <conditionalFormatting sqref="D26">
    <cfRule type="containsText" dxfId="45" priority="44" operator="containsText" text="x">
      <formula>NOT(ISERROR(SEARCH("x",D26)))</formula>
    </cfRule>
  </conditionalFormatting>
  <conditionalFormatting sqref="D27:D28">
    <cfRule type="containsText" dxfId="44" priority="42" operator="containsText" text="x">
      <formula>NOT(ISERROR(SEARCH("x",D27)))</formula>
    </cfRule>
  </conditionalFormatting>
  <conditionalFormatting sqref="D29">
    <cfRule type="containsText" dxfId="43" priority="40" operator="containsText" text="x">
      <formula>NOT(ISERROR(SEARCH("x",D29)))</formula>
    </cfRule>
  </conditionalFormatting>
  <conditionalFormatting sqref="D43">
    <cfRule type="containsText" dxfId="42" priority="38" operator="containsText" text="x">
      <formula>NOT(ISERROR(SEARCH("x",D43)))</formula>
    </cfRule>
  </conditionalFormatting>
  <conditionalFormatting sqref="D50">
    <cfRule type="containsText" dxfId="41" priority="36" operator="containsText" text="x">
      <formula>NOT(ISERROR(SEARCH("x",D50)))</formula>
    </cfRule>
  </conditionalFormatting>
  <conditionalFormatting sqref="D63">
    <cfRule type="containsText" dxfId="40" priority="32" operator="containsText" text="x">
      <formula>NOT(ISERROR(SEARCH("x",D63)))</formula>
    </cfRule>
  </conditionalFormatting>
  <conditionalFormatting sqref="D65">
    <cfRule type="containsText" dxfId="39" priority="30" operator="containsText" text="x">
      <formula>NOT(ISERROR(SEARCH("x",D65)))</formula>
    </cfRule>
  </conditionalFormatting>
  <conditionalFormatting sqref="D66">
    <cfRule type="containsText" dxfId="38" priority="28" operator="containsText" text="x">
      <formula>NOT(ISERROR(SEARCH("x",D66)))</formula>
    </cfRule>
  </conditionalFormatting>
  <conditionalFormatting sqref="D67">
    <cfRule type="containsText" dxfId="37" priority="26" operator="containsText" text="x">
      <formula>NOT(ISERROR(SEARCH("x",D67)))</formula>
    </cfRule>
  </conditionalFormatting>
  <conditionalFormatting sqref="Z67:AT67">
    <cfRule type="containsText" dxfId="36" priority="25" operator="containsText" text="x">
      <formula>NOT(ISERROR(SEARCH("x",Z67)))</formula>
    </cfRule>
  </conditionalFormatting>
  <conditionalFormatting sqref="D81">
    <cfRule type="containsText" dxfId="35" priority="24" operator="containsText" text="x">
      <formula>NOT(ISERROR(SEARCH("x",D81)))</formula>
    </cfRule>
  </conditionalFormatting>
  <conditionalFormatting sqref="D83">
    <cfRule type="containsText" dxfId="34" priority="22" operator="containsText" text="x">
      <formula>NOT(ISERROR(SEARCH("x",D83)))</formula>
    </cfRule>
  </conditionalFormatting>
  <conditionalFormatting sqref="D82">
    <cfRule type="containsText" dxfId="33" priority="20" operator="containsText" text="x">
      <formula>NOT(ISERROR(SEARCH("x",D82)))</formula>
    </cfRule>
  </conditionalFormatting>
  <conditionalFormatting sqref="D62">
    <cfRule type="containsText" dxfId="32" priority="18" operator="containsText" text="x">
      <formula>NOT(ISERROR(SEARCH("x",D62)))</formula>
    </cfRule>
  </conditionalFormatting>
  <conditionalFormatting sqref="X60:Y60">
    <cfRule type="containsText" dxfId="31" priority="16" operator="containsText" text="x">
      <formula>NOT(ISERROR(SEARCH("x",X60)))</formula>
    </cfRule>
  </conditionalFormatting>
  <conditionalFormatting sqref="D60">
    <cfRule type="containsText" dxfId="30" priority="15" operator="containsText" text="x">
      <formula>NOT(ISERROR(SEARCH("x",D60)))</formula>
    </cfRule>
  </conditionalFormatting>
  <conditionalFormatting sqref="D64">
    <cfRule type="containsText" dxfId="29" priority="13" operator="containsText" text="x">
      <formula>NOT(ISERROR(SEARCH("x",D64)))</formula>
    </cfRule>
  </conditionalFormatting>
  <conditionalFormatting sqref="X67">
    <cfRule type="containsText" dxfId="28" priority="11" operator="containsText" text="x">
      <formula>NOT(ISERROR(SEARCH("x",X67)))</formula>
    </cfRule>
  </conditionalFormatting>
  <conditionalFormatting sqref="Y67">
    <cfRule type="containsText" dxfId="27" priority="10" operator="containsText" text="x">
      <formula>NOT(ISERROR(SEARCH("x",Y67)))</formula>
    </cfRule>
  </conditionalFormatting>
  <conditionalFormatting sqref="T80">
    <cfRule type="containsText" dxfId="26" priority="9" operator="containsText" text="x">
      <formula>NOT(ISERROR(SEARCH("x",T80)))</formula>
    </cfRule>
  </conditionalFormatting>
  <conditionalFormatting sqref="L77">
    <cfRule type="containsText" dxfId="25" priority="1" operator="containsText" text="x">
      <formula>NOT(ISERROR(SEARCH("x",L77)))</formula>
    </cfRule>
  </conditionalFormatting>
  <conditionalFormatting sqref="L34">
    <cfRule type="containsText" dxfId="24" priority="8" operator="containsText" text="x">
      <formula>NOT(ISERROR(SEARCH("x",L34)))</formula>
    </cfRule>
  </conditionalFormatting>
  <conditionalFormatting sqref="L43">
    <cfRule type="containsText" dxfId="23" priority="7" operator="containsText" text="x">
      <formula>NOT(ISERROR(SEARCH("x",L43)))</formula>
    </cfRule>
  </conditionalFormatting>
  <conditionalFormatting sqref="L50">
    <cfRule type="containsText" dxfId="22" priority="6" operator="containsText" text="x">
      <formula>NOT(ISERROR(SEARCH("x",L50)))</formula>
    </cfRule>
  </conditionalFormatting>
  <conditionalFormatting sqref="L67">
    <cfRule type="containsText" dxfId="21" priority="5" operator="containsText" text="x">
      <formula>NOT(ISERROR(SEARCH("x",L67)))</formula>
    </cfRule>
  </conditionalFormatting>
  <conditionalFormatting sqref="L88">
    <cfRule type="containsText" dxfId="20" priority="4" operator="containsText" text="x">
      <formula>NOT(ISERROR(SEARCH("x",L88)))</formula>
    </cfRule>
  </conditionalFormatting>
  <conditionalFormatting sqref="L59">
    <cfRule type="containsText" dxfId="19" priority="3" operator="containsText" text="x">
      <formula>NOT(ISERROR(SEARCH("x",L59)))</formula>
    </cfRule>
  </conditionalFormatting>
  <conditionalFormatting sqref="L71">
    <cfRule type="containsText" dxfId="18" priority="2" operator="containsText" text="x">
      <formula>NOT(ISERROR(SEARCH("x",L71)))</formula>
    </cfRule>
  </conditionalFormatting>
  <dataValidations count="8">
    <dataValidation allowBlank="1" showInputMessage="1" showErrorMessage="1" prompt="Xác định lại" sqref="AN48"/>
    <dataValidation allowBlank="1" showInputMessage="1" showErrorMessage="1" prompt="Hợp đồng công đoạn" sqref="AM87"/>
    <dataValidation allowBlank="1" showInputMessage="1" showErrorMessage="1" promptTitle="Chú ý" prompt="không có ngày tháng sinh (thêm vào để đủ dữ kiện)" sqref="I39"/>
    <dataValidation allowBlank="1" showInputMessage="1" showErrorMessage="1" prompt="có chứng nhận" sqref="N57"/>
    <dataValidation allowBlank="1" showInputMessage="1" showErrorMessage="1" promptTitle="Chú ý" prompt="trong khai sinh không có ngày tháng sinh, cá nhân tự khai có ngày tháng sinh" sqref="H17"/>
    <dataValidation allowBlank="1" showInputMessage="1" showErrorMessage="1" prompt="Hợp đồng 01/9/2002; quyết định tuyển dụng 01/9/2003; QĐ bổ nhiệm 01/9/2004(HĐ trước, tuyển dụng sau)" sqref="AM77"/>
    <dataValidation allowBlank="1" showInputMessage="1" showErrorMessage="1" promptTitle="Kiêm nhiệm" prompt="Tổ trưởng" sqref="L20 L34 L43 L50 L67 L88"/>
    <dataValidation allowBlank="1" showInputMessage="1" showErrorMessage="1" promptTitle="Kiêm nhiệm" prompt="Tổ Phó" sqref="L21 L59 L71 L77"/>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107"/>
  <sheetViews>
    <sheetView showZeros="0" topLeftCell="J33" zoomScaleNormal="100" workbookViewId="0">
      <selection activeCell="AL34" sqref="AL34"/>
    </sheetView>
  </sheetViews>
  <sheetFormatPr defaultColWidth="8.7109375" defaultRowHeight="15" x14ac:dyDescent="0.25"/>
  <cols>
    <col min="1" max="1" width="1.7109375" style="115" customWidth="1"/>
    <col min="2" max="2" width="4.42578125" style="115" customWidth="1"/>
    <col min="3" max="3" width="3.28515625" style="115" customWidth="1"/>
    <col min="4" max="4" width="20.28515625" style="115" customWidth="1"/>
    <col min="5" max="5" width="3.42578125" style="308" customWidth="1"/>
    <col min="6" max="6" width="10" style="115" customWidth="1"/>
    <col min="7" max="8" width="8.140625" style="115" customWidth="1"/>
    <col min="9" max="10" width="5.85546875" style="115" customWidth="1"/>
    <col min="11" max="11" width="5.7109375" style="115" customWidth="1"/>
    <col min="12" max="12" width="7" style="115" customWidth="1"/>
    <col min="13" max="16" width="5.28515625" style="115" customWidth="1"/>
    <col min="17" max="26" width="5" style="115" customWidth="1"/>
    <col min="27" max="27" width="6.42578125" style="115" customWidth="1"/>
    <col min="28" max="28" width="5" style="115" customWidth="1"/>
    <col min="29" max="29" width="7.140625" style="115" customWidth="1"/>
    <col min="30" max="30" width="6.85546875" style="115" customWidth="1"/>
    <col min="31" max="31" width="6" style="115" customWidth="1"/>
    <col min="32" max="32" width="7" style="115" customWidth="1"/>
    <col min="33" max="35" width="6" style="115" customWidth="1"/>
    <col min="36" max="36" width="6.7109375" style="115" customWidth="1"/>
    <col min="37" max="37" width="2.28515625" style="115" customWidth="1"/>
    <col min="38" max="38" width="6.7109375" style="115" customWidth="1"/>
    <col min="39" max="16384" width="8.7109375" style="115"/>
  </cols>
  <sheetData>
    <row r="2" spans="1:38" ht="25.5" customHeight="1" x14ac:dyDescent="0.25">
      <c r="A2" s="218"/>
      <c r="B2" s="860" t="s">
        <v>1044</v>
      </c>
      <c r="C2" s="860" t="s">
        <v>0</v>
      </c>
      <c r="D2" s="862" t="s">
        <v>2</v>
      </c>
      <c r="E2" s="864" t="s">
        <v>3</v>
      </c>
      <c r="F2" s="866" t="s">
        <v>941</v>
      </c>
      <c r="G2" s="868" t="s">
        <v>942</v>
      </c>
      <c r="H2" s="873" t="s">
        <v>1236</v>
      </c>
      <c r="I2" s="874"/>
      <c r="J2" s="874"/>
      <c r="K2" s="875" t="s">
        <v>1243</v>
      </c>
      <c r="L2" s="870" t="s">
        <v>1050</v>
      </c>
      <c r="M2" s="871"/>
      <c r="N2" s="871"/>
      <c r="O2" s="871"/>
      <c r="P2" s="872"/>
      <c r="Q2" s="870" t="s">
        <v>1078</v>
      </c>
      <c r="R2" s="871"/>
      <c r="S2" s="871"/>
      <c r="T2" s="871"/>
      <c r="U2" s="872"/>
      <c r="V2" s="879" t="s">
        <v>1239</v>
      </c>
      <c r="W2" s="879"/>
      <c r="X2" s="879"/>
      <c r="Y2" s="879"/>
      <c r="Z2" s="879"/>
      <c r="AA2" s="877" t="s">
        <v>1081</v>
      </c>
      <c r="AB2" s="883" t="s">
        <v>1242</v>
      </c>
      <c r="AC2" s="883" t="s">
        <v>1248</v>
      </c>
      <c r="AD2" s="877" t="s">
        <v>1082</v>
      </c>
      <c r="AE2" s="881" t="s">
        <v>1232</v>
      </c>
      <c r="AF2" s="881" t="s">
        <v>1241</v>
      </c>
      <c r="AG2" s="885" t="s">
        <v>1244</v>
      </c>
      <c r="AH2" s="886"/>
      <c r="AI2" s="887"/>
      <c r="AJ2" s="213"/>
      <c r="AL2" s="880" t="s">
        <v>1325</v>
      </c>
    </row>
    <row r="3" spans="1:38" ht="36" customHeight="1" x14ac:dyDescent="0.25">
      <c r="A3" s="221"/>
      <c r="B3" s="861"/>
      <c r="C3" s="861"/>
      <c r="D3" s="863"/>
      <c r="E3" s="865"/>
      <c r="F3" s="867"/>
      <c r="G3" s="869"/>
      <c r="H3" s="310" t="s">
        <v>1075</v>
      </c>
      <c r="I3" s="311" t="s">
        <v>1041</v>
      </c>
      <c r="J3" s="310" t="s">
        <v>1238</v>
      </c>
      <c r="K3" s="876"/>
      <c r="L3" s="329" t="s">
        <v>1045</v>
      </c>
      <c r="M3" s="327" t="s">
        <v>1046</v>
      </c>
      <c r="N3" s="328" t="s">
        <v>1047</v>
      </c>
      <c r="O3" s="328" t="s">
        <v>1048</v>
      </c>
      <c r="P3" s="328" t="s">
        <v>1049</v>
      </c>
      <c r="Q3" s="311" t="s">
        <v>1046</v>
      </c>
      <c r="R3" s="310" t="s">
        <v>1047</v>
      </c>
      <c r="S3" s="310" t="s">
        <v>1048</v>
      </c>
      <c r="T3" s="310" t="s">
        <v>1049</v>
      </c>
      <c r="U3" s="310" t="s">
        <v>41</v>
      </c>
      <c r="V3" s="559" t="s">
        <v>0</v>
      </c>
      <c r="W3" s="559" t="s">
        <v>1240</v>
      </c>
      <c r="X3" s="560" t="s">
        <v>1237</v>
      </c>
      <c r="Y3" s="561" t="s">
        <v>1249</v>
      </c>
      <c r="Z3" s="538" t="s">
        <v>41</v>
      </c>
      <c r="AA3" s="878"/>
      <c r="AB3" s="884"/>
      <c r="AC3" s="884"/>
      <c r="AD3" s="878"/>
      <c r="AE3" s="888"/>
      <c r="AF3" s="882"/>
      <c r="AG3" s="534" t="s">
        <v>1245</v>
      </c>
      <c r="AH3" s="533" t="s">
        <v>1246</v>
      </c>
      <c r="AI3" s="533" t="s">
        <v>1247</v>
      </c>
      <c r="AJ3" s="307" t="s">
        <v>573</v>
      </c>
      <c r="AL3" s="880"/>
    </row>
    <row r="4" spans="1:38" ht="12" customHeight="1" x14ac:dyDescent="0.25">
      <c r="A4" s="318"/>
      <c r="B4" s="319"/>
      <c r="C4" s="319"/>
      <c r="D4" s="320"/>
      <c r="E4" s="321"/>
      <c r="F4" s="322"/>
      <c r="G4" s="323"/>
      <c r="H4" s="323"/>
      <c r="I4" s="317"/>
      <c r="J4" s="323"/>
      <c r="K4" s="419"/>
      <c r="L4" s="312"/>
      <c r="M4" s="317"/>
      <c r="N4" s="323"/>
      <c r="O4" s="323"/>
      <c r="P4" s="323"/>
      <c r="Q4" s="323"/>
      <c r="R4" s="323"/>
      <c r="S4" s="323"/>
      <c r="T4" s="323"/>
      <c r="U4" s="323"/>
      <c r="V4" s="419"/>
      <c r="W4" s="419"/>
      <c r="X4" s="419"/>
      <c r="Y4" s="536"/>
      <c r="Z4" s="535"/>
      <c r="AA4" s="419"/>
      <c r="AB4" s="535"/>
      <c r="AC4" s="535"/>
      <c r="AD4" s="419"/>
      <c r="AE4" s="419"/>
      <c r="AF4" s="420"/>
      <c r="AG4" s="420"/>
      <c r="AH4" s="420"/>
      <c r="AI4" s="420"/>
      <c r="AJ4" s="212"/>
    </row>
    <row r="5" spans="1:38" ht="12" hidden="1" customHeight="1" x14ac:dyDescent="0.25">
      <c r="A5" s="318"/>
      <c r="B5" s="432"/>
      <c r="C5" s="433"/>
      <c r="D5" s="434" t="s">
        <v>522</v>
      </c>
      <c r="E5" s="435"/>
      <c r="F5" s="436"/>
      <c r="G5" s="437"/>
      <c r="H5" s="437"/>
      <c r="I5" s="422"/>
      <c r="J5" s="421"/>
      <c r="K5" s="421"/>
      <c r="L5" s="423"/>
      <c r="M5" s="422"/>
      <c r="N5" s="421"/>
      <c r="O5" s="421"/>
      <c r="P5" s="421"/>
      <c r="Q5" s="421"/>
      <c r="R5" s="421"/>
      <c r="S5" s="421"/>
      <c r="T5" s="421"/>
      <c r="U5" s="421"/>
      <c r="V5" s="421"/>
      <c r="W5" s="421"/>
      <c r="X5" s="421"/>
      <c r="Y5" s="537"/>
      <c r="AA5" s="421"/>
      <c r="AD5" s="421"/>
      <c r="AE5" s="421"/>
      <c r="AF5" s="421"/>
      <c r="AG5" s="421"/>
      <c r="AH5" s="421"/>
      <c r="AI5" s="421"/>
      <c r="AJ5" s="212"/>
    </row>
    <row r="6" spans="1:38" ht="12" hidden="1" customHeight="1" x14ac:dyDescent="0.25">
      <c r="A6" s="318"/>
      <c r="B6" s="432">
        <f>IF(D6&lt;&gt;0,1,0)</f>
        <v>1</v>
      </c>
      <c r="C6" s="433">
        <f>IF(D6=0,0,1)</f>
        <v>1</v>
      </c>
      <c r="D6" s="434" t="str">
        <f>IF(NSTonghop!$E8&lt;&gt;0,0,NSTonghop!F8)</f>
        <v>Lê Thị Nhung</v>
      </c>
      <c r="E6" s="438" t="str">
        <f>IF(NSTonghop!$E8&lt;&gt;0,0,NSTonghop!G8)</f>
        <v>x</v>
      </c>
      <c r="F6" s="434">
        <f>IF(NSTonghop!$E8&lt;&gt;0,0,NSTonghop!X8)</f>
        <v>0</v>
      </c>
      <c r="G6" s="434">
        <f>IF(NSTonghop!$E8&lt;&gt;0,0,NSTonghop!Y8)</f>
        <v>0</v>
      </c>
      <c r="H6" s="434"/>
      <c r="I6" s="422"/>
      <c r="J6" s="421"/>
      <c r="K6" s="421"/>
      <c r="L6" s="423"/>
      <c r="M6" s="422"/>
      <c r="N6" s="421"/>
      <c r="O6" s="421"/>
      <c r="P6" s="421"/>
      <c r="Q6" s="421"/>
      <c r="R6" s="421"/>
      <c r="S6" s="421"/>
      <c r="T6" s="421"/>
      <c r="U6" s="421"/>
      <c r="V6" s="421"/>
      <c r="W6" s="421"/>
      <c r="X6" s="421"/>
      <c r="Y6" s="537"/>
      <c r="AA6" s="421"/>
      <c r="AD6" s="421"/>
      <c r="AE6" s="421"/>
      <c r="AF6" s="421"/>
      <c r="AG6" s="421"/>
      <c r="AH6" s="421"/>
      <c r="AI6" s="421"/>
      <c r="AJ6" s="212"/>
    </row>
    <row r="7" spans="1:38" ht="12" hidden="1" customHeight="1" x14ac:dyDescent="0.25">
      <c r="A7" s="318"/>
      <c r="B7" s="439">
        <f>IF(D7&lt;&gt;0,MAX($B$6:B6)+1,"")</f>
        <v>2</v>
      </c>
      <c r="C7" s="440">
        <f>IF(D7=0,0,MAX($C$6:C6)+1)</f>
        <v>2</v>
      </c>
      <c r="D7" s="434" t="str">
        <f>IF(NSTonghop!$E9&lt;&gt;0,0,NSTonghop!F9)</f>
        <v>Lê Thị Bích Thy</v>
      </c>
      <c r="E7" s="438" t="str">
        <f>IF(NSTonghop!$E9&lt;&gt;0,0,NSTonghop!G9)</f>
        <v>x</v>
      </c>
      <c r="F7" s="434">
        <f>IF(NSTonghop!$E9&lt;&gt;0,0,NSTonghop!X9)</f>
        <v>0</v>
      </c>
      <c r="G7" s="434">
        <f>IF(NSTonghop!$E9&lt;&gt;0,0,NSTonghop!Y9)</f>
        <v>0</v>
      </c>
      <c r="H7" s="434"/>
      <c r="I7" s="422"/>
      <c r="J7" s="421"/>
      <c r="K7" s="421"/>
      <c r="L7" s="423"/>
      <c r="M7" s="422"/>
      <c r="N7" s="421"/>
      <c r="O7" s="421"/>
      <c r="P7" s="421"/>
      <c r="Q7" s="421"/>
      <c r="R7" s="421"/>
      <c r="S7" s="421"/>
      <c r="T7" s="421"/>
      <c r="U7" s="421"/>
      <c r="V7" s="421"/>
      <c r="W7" s="421"/>
      <c r="X7" s="421"/>
      <c r="Y7" s="537"/>
      <c r="AA7" s="421"/>
      <c r="AD7" s="421"/>
      <c r="AE7" s="421"/>
      <c r="AF7" s="421"/>
      <c r="AG7" s="421"/>
      <c r="AH7" s="421"/>
      <c r="AI7" s="421"/>
      <c r="AJ7" s="212"/>
    </row>
    <row r="8" spans="1:38" ht="12" hidden="1" customHeight="1" x14ac:dyDescent="0.25">
      <c r="A8" s="318"/>
      <c r="B8" s="439">
        <f>IF(D8&lt;&gt;0,MAX($B$6:B7)+1,"")</f>
        <v>3</v>
      </c>
      <c r="C8" s="440">
        <f>IF(D8=0,0,MAX($C$6:C7)+1)</f>
        <v>3</v>
      </c>
      <c r="D8" s="434" t="str">
        <f>IF(NSTonghop!$E10&lt;&gt;0,0,NSTonghop!F10)</f>
        <v>Phạm Thị Ngọc Thủy</v>
      </c>
      <c r="E8" s="438" t="str">
        <f>IF(NSTonghop!$E10&lt;&gt;0,0,NSTonghop!G10)</f>
        <v>x</v>
      </c>
      <c r="F8" s="434">
        <f>IF(NSTonghop!$E10&lt;&gt;0,0,NSTonghop!X10)</f>
        <v>0</v>
      </c>
      <c r="G8" s="434">
        <f>IF(NSTonghop!$E10&lt;&gt;0,0,NSTonghop!Y10)</f>
        <v>0</v>
      </c>
      <c r="H8" s="434"/>
      <c r="I8" s="422"/>
      <c r="J8" s="421"/>
      <c r="K8" s="421"/>
      <c r="L8" s="423"/>
      <c r="M8" s="422"/>
      <c r="N8" s="421"/>
      <c r="O8" s="421"/>
      <c r="P8" s="421"/>
      <c r="Q8" s="421"/>
      <c r="R8" s="421"/>
      <c r="S8" s="421"/>
      <c r="T8" s="421"/>
      <c r="U8" s="421"/>
      <c r="V8" s="421"/>
      <c r="W8" s="421"/>
      <c r="X8" s="421"/>
      <c r="Y8" s="537"/>
      <c r="AA8" s="421"/>
      <c r="AD8" s="421"/>
      <c r="AE8" s="421"/>
      <c r="AF8" s="421"/>
      <c r="AG8" s="421"/>
      <c r="AH8" s="421"/>
      <c r="AI8" s="421"/>
      <c r="AJ8" s="212"/>
    </row>
    <row r="9" spans="1:38" ht="12" hidden="1" customHeight="1" x14ac:dyDescent="0.25">
      <c r="A9" s="318"/>
      <c r="B9" s="439" t="str">
        <f>IF(D9&lt;&gt;0,MAX($B$6:B8)+1,"")</f>
        <v/>
      </c>
      <c r="C9" s="440">
        <f>IF(D9=0,0,MAX($C$6:C8)+1)</f>
        <v>0</v>
      </c>
      <c r="D9" s="434">
        <f>IF(NSTonghop!$E11&lt;&gt;0,0,NSTonghop!F11)</f>
        <v>0</v>
      </c>
      <c r="E9" s="438">
        <f>IF(NSTonghop!$E11&lt;&gt;0,0,NSTonghop!G11)</f>
        <v>0</v>
      </c>
      <c r="F9" s="434">
        <f>IF(NSTonghop!$E11&lt;&gt;0,0,NSTonghop!X11)</f>
        <v>0</v>
      </c>
      <c r="G9" s="434">
        <f>IF(NSTonghop!$E11&lt;&gt;0,0,NSTonghop!Y11)</f>
        <v>0</v>
      </c>
      <c r="H9" s="434"/>
      <c r="I9" s="422"/>
      <c r="J9" s="421"/>
      <c r="K9" s="421"/>
      <c r="L9" s="423"/>
      <c r="M9" s="422"/>
      <c r="N9" s="421"/>
      <c r="O9" s="421"/>
      <c r="P9" s="421"/>
      <c r="Q9" s="421"/>
      <c r="R9" s="421"/>
      <c r="S9" s="421"/>
      <c r="T9" s="421"/>
      <c r="U9" s="421"/>
      <c r="V9" s="421"/>
      <c r="W9" s="421"/>
      <c r="X9" s="421"/>
      <c r="Y9" s="537"/>
      <c r="AA9" s="421"/>
      <c r="AD9" s="421"/>
      <c r="AE9" s="421"/>
      <c r="AF9" s="421"/>
      <c r="AG9" s="421"/>
      <c r="AH9" s="421"/>
      <c r="AI9" s="421"/>
      <c r="AJ9" s="212"/>
    </row>
    <row r="10" spans="1:38" ht="12" hidden="1" customHeight="1" x14ac:dyDescent="0.25">
      <c r="A10" s="318"/>
      <c r="B10" s="439">
        <f>IF(D10&lt;&gt;0,MAX($B$6:B9)+1,"")</f>
        <v>4</v>
      </c>
      <c r="C10" s="440">
        <f>IF(D10=0,0,MAX($C$6:C9)+1)</f>
        <v>4</v>
      </c>
      <c r="D10" s="434" t="str">
        <f>IF(NSTonghop!$E12&lt;&gt;0,0,NSTonghop!F12)</f>
        <v>Nguyễn Thị Định</v>
      </c>
      <c r="E10" s="438" t="str">
        <f>IF(NSTonghop!$E12&lt;&gt;0,0,NSTonghop!G12)</f>
        <v>x</v>
      </c>
      <c r="F10" s="434">
        <f>IF(NSTonghop!$E12&lt;&gt;0,0,NSTonghop!X12)</f>
        <v>0</v>
      </c>
      <c r="G10" s="434">
        <f>IF(NSTonghop!$E12&lt;&gt;0,0,NSTonghop!Y12)</f>
        <v>0</v>
      </c>
      <c r="H10" s="434"/>
      <c r="I10" s="422"/>
      <c r="J10" s="421"/>
      <c r="K10" s="421"/>
      <c r="L10" s="423"/>
      <c r="M10" s="422"/>
      <c r="N10" s="421"/>
      <c r="O10" s="421"/>
      <c r="P10" s="421"/>
      <c r="Q10" s="421"/>
      <c r="R10" s="421"/>
      <c r="S10" s="421"/>
      <c r="T10" s="421"/>
      <c r="U10" s="421"/>
      <c r="V10" s="421"/>
      <c r="W10" s="421"/>
      <c r="X10" s="421"/>
      <c r="Y10" s="537"/>
      <c r="AA10" s="421"/>
      <c r="AD10" s="421"/>
      <c r="AE10" s="421"/>
      <c r="AF10" s="421"/>
      <c r="AG10" s="421"/>
      <c r="AH10" s="421"/>
      <c r="AI10" s="421"/>
      <c r="AJ10" s="212"/>
    </row>
    <row r="11" spans="1:38" ht="12" hidden="1" customHeight="1" x14ac:dyDescent="0.25">
      <c r="A11" s="318"/>
      <c r="B11" s="439" t="str">
        <f>IF(D11&lt;&gt;0,MAX($B$6:B10)+1,"")</f>
        <v/>
      </c>
      <c r="C11" s="440">
        <f>IF(D11=0,0,MAX($C$6:C10)+1)</f>
        <v>0</v>
      </c>
      <c r="D11" s="434">
        <f>IF(NSTonghop!$E13&lt;&gt;0,0,NSTonghop!F13)</f>
        <v>0</v>
      </c>
      <c r="E11" s="438">
        <f>IF(NSTonghop!$E13&lt;&gt;0,0,NSTonghop!G13)</f>
        <v>0</v>
      </c>
      <c r="F11" s="434">
        <f>IF(NSTonghop!$E13&lt;&gt;0,0,NSTonghop!X13)</f>
        <v>0</v>
      </c>
      <c r="G11" s="434">
        <f>IF(NSTonghop!$E13&lt;&gt;0,0,NSTonghop!Y13)</f>
        <v>0</v>
      </c>
      <c r="H11" s="434"/>
      <c r="I11" s="422"/>
      <c r="J11" s="421"/>
      <c r="K11" s="421"/>
      <c r="L11" s="423"/>
      <c r="M11" s="422"/>
      <c r="N11" s="421"/>
      <c r="O11" s="421"/>
      <c r="P11" s="421"/>
      <c r="Q11" s="421"/>
      <c r="R11" s="421"/>
      <c r="S11" s="421"/>
      <c r="T11" s="421"/>
      <c r="U11" s="421"/>
      <c r="V11" s="421"/>
      <c r="W11" s="421"/>
      <c r="X11" s="421"/>
      <c r="Y11" s="537"/>
      <c r="AA11" s="421"/>
      <c r="AD11" s="421"/>
      <c r="AE11" s="421"/>
      <c r="AF11" s="421"/>
      <c r="AG11" s="421"/>
      <c r="AH11" s="421"/>
      <c r="AI11" s="421"/>
      <c r="AJ11" s="212"/>
    </row>
    <row r="12" spans="1:38" ht="12" hidden="1" customHeight="1" x14ac:dyDescent="0.25">
      <c r="A12" s="318"/>
      <c r="B12" s="439">
        <f>IF(D12&lt;&gt;0,MAX($B$6:B11)+1,"")</f>
        <v>5</v>
      </c>
      <c r="C12" s="440">
        <f>IF(D12=0,0,MAX($C$6:C11)+1)</f>
        <v>5</v>
      </c>
      <c r="D12" s="434" t="str">
        <f>IF(NSTonghop!$E14&lt;&gt;0,0,NSTonghop!F14)</f>
        <v>Lê Văn Thắng</v>
      </c>
      <c r="E12" s="438">
        <f>IF(NSTonghop!$E14&lt;&gt;0,0,NSTonghop!G14)</f>
        <v>0</v>
      </c>
      <c r="F12" s="434">
        <f>IF(NSTonghop!$E14&lt;&gt;0,0,NSTonghop!X14)</f>
        <v>0</v>
      </c>
      <c r="G12" s="434">
        <f>IF(NSTonghop!$E14&lt;&gt;0,0,NSTonghop!Y14)</f>
        <v>0</v>
      </c>
      <c r="H12" s="434"/>
      <c r="I12" s="429"/>
      <c r="J12" s="430"/>
      <c r="K12" s="430"/>
      <c r="L12" s="431"/>
      <c r="M12" s="429"/>
      <c r="N12" s="430"/>
      <c r="O12" s="430"/>
      <c r="P12" s="430"/>
      <c r="Q12" s="430"/>
      <c r="R12" s="430"/>
      <c r="S12" s="430"/>
      <c r="T12" s="430"/>
      <c r="U12" s="430"/>
      <c r="V12" s="430"/>
      <c r="W12" s="430"/>
      <c r="X12" s="430"/>
      <c r="Y12" s="537"/>
      <c r="AA12" s="430"/>
      <c r="AD12" s="430"/>
      <c r="AE12" s="430"/>
      <c r="AF12" s="421"/>
      <c r="AG12" s="421"/>
      <c r="AH12" s="421"/>
      <c r="AI12" s="421"/>
      <c r="AJ12" s="212"/>
    </row>
    <row r="13" spans="1:38" x14ac:dyDescent="0.25">
      <c r="A13" s="220"/>
      <c r="B13" s="128">
        <f>IF(D13&lt;&gt;0,MAX($B$6:B12)+1,"")</f>
        <v>6</v>
      </c>
      <c r="C13" s="152">
        <f>IF(D13=0,0,1)</f>
        <v>1</v>
      </c>
      <c r="D13" s="151" t="str">
        <f>IF(NSTonghop!$E15&lt;&gt;0,0,NSTonghop!F15)</f>
        <v>Nguyễn Thanh Hùng</v>
      </c>
      <c r="E13" s="157">
        <f>IF(NSTonghop!$E15&lt;&gt;0,0,NSTonghop!G15)</f>
        <v>0</v>
      </c>
      <c r="F13" s="151" t="str">
        <f>IF(NSTonghop!$E15&lt;&gt;0,0,NSTonghop!X15)</f>
        <v>Lý</v>
      </c>
      <c r="G13" s="151">
        <f>IF(NSTonghop!$E15&lt;&gt;0,0,NSTonghop!Y15)</f>
        <v>0</v>
      </c>
      <c r="H13" s="151"/>
      <c r="I13" s="304"/>
      <c r="J13" s="304"/>
      <c r="K13" s="552">
        <f>COUNTIF($H$13:$H$89,"Văn")</f>
        <v>10</v>
      </c>
      <c r="L13" s="332" t="s">
        <v>1051</v>
      </c>
      <c r="M13" s="333">
        <v>4</v>
      </c>
      <c r="N13" s="333">
        <v>4</v>
      </c>
      <c r="O13" s="333">
        <v>4</v>
      </c>
      <c r="P13" s="333">
        <v>5</v>
      </c>
      <c r="Q13" s="424">
        <f t="shared" ref="Q13:Q35" si="0">M13*$R$39</f>
        <v>40</v>
      </c>
      <c r="R13" s="424">
        <f t="shared" ref="R13:R35" si="1">N13*$R$40</f>
        <v>36</v>
      </c>
      <c r="S13" s="424">
        <f t="shared" ref="S13:S35" si="2">O13*$R$41</f>
        <v>36</v>
      </c>
      <c r="T13" s="424">
        <f t="shared" ref="T13:T35" si="3">P13*$R$42</f>
        <v>40</v>
      </c>
      <c r="U13" s="425">
        <f>SUM(Q13:T13)</f>
        <v>152</v>
      </c>
      <c r="V13" s="539">
        <v>3</v>
      </c>
      <c r="W13" s="539"/>
      <c r="X13" s="426">
        <f>COUNTIFS($I$13:$I$104,"x",$H$13:$H$104,"Văn")*4.5</f>
        <v>27</v>
      </c>
      <c r="Y13" s="426">
        <v>4</v>
      </c>
      <c r="Z13" s="546">
        <f>SUM(V13:Y13)</f>
        <v>34</v>
      </c>
      <c r="AA13" s="427">
        <f t="shared" ref="AA13:AA35" si="4">SUM(U13:X13)</f>
        <v>182</v>
      </c>
      <c r="AB13" s="542"/>
      <c r="AC13" s="542"/>
      <c r="AD13" s="428">
        <f>SUM((K13*19),AC13)-AB13</f>
        <v>190</v>
      </c>
      <c r="AE13" s="427">
        <f t="shared" ref="AE13:AE29" si="5">AA13-AD13</f>
        <v>-8</v>
      </c>
      <c r="AF13" s="556">
        <f>AA13/(K13)</f>
        <v>18.2</v>
      </c>
      <c r="AG13" s="556">
        <f t="shared" ref="AG13:AG29" si="6">AA13/19</f>
        <v>9.5789473684210531</v>
      </c>
      <c r="AH13" s="556">
        <f>IF(K13&gt;AG13,K13-AG13,0)</f>
        <v>0.4210526315789469</v>
      </c>
      <c r="AI13" s="556">
        <f>IF(AG13&gt;K13,AG13-K13,0)</f>
        <v>0</v>
      </c>
      <c r="AJ13" s="212"/>
      <c r="AL13" s="115">
        <v>10</v>
      </c>
    </row>
    <row r="14" spans="1:38" x14ac:dyDescent="0.25">
      <c r="A14" s="220"/>
      <c r="B14" s="128">
        <f>IF(D14&lt;&gt;0,MAX($B$6:B13)+1,"")</f>
        <v>7</v>
      </c>
      <c r="C14" s="163">
        <f>IF(D14=0,0,MAX($C$13:C13)+1)</f>
        <v>2</v>
      </c>
      <c r="D14" s="162" t="str">
        <f>IF(NSTonghop!$E16&lt;&gt;0,0,NSTonghop!F16)</f>
        <v>Võ Minh Triết</v>
      </c>
      <c r="E14" s="168">
        <f>IF(NSTonghop!$E16&lt;&gt;0,0,NSTonghop!G16)</f>
        <v>0</v>
      </c>
      <c r="F14" s="162" t="str">
        <f>IF(NSTonghop!$E16&lt;&gt;0,0,NSTonghop!X16)</f>
        <v>Toán</v>
      </c>
      <c r="G14" s="162">
        <f>IF(NSTonghop!$E16&lt;&gt;0,0,NSTonghop!Y16)</f>
        <v>0</v>
      </c>
      <c r="H14" s="162"/>
      <c r="I14" s="304"/>
      <c r="J14" s="304"/>
      <c r="K14" s="553">
        <f>COUNTIF($H$13:$H$89,"Sử")</f>
        <v>4</v>
      </c>
      <c r="L14" s="334" t="s">
        <v>1052</v>
      </c>
      <c r="M14" s="335">
        <v>1</v>
      </c>
      <c r="N14" s="335">
        <v>2</v>
      </c>
      <c r="O14" s="335">
        <v>2</v>
      </c>
      <c r="P14" s="335">
        <v>2</v>
      </c>
      <c r="Q14" s="341">
        <f t="shared" si="0"/>
        <v>10</v>
      </c>
      <c r="R14" s="341">
        <f t="shared" si="1"/>
        <v>18</v>
      </c>
      <c r="S14" s="341">
        <f t="shared" si="2"/>
        <v>18</v>
      </c>
      <c r="T14" s="341">
        <f t="shared" si="3"/>
        <v>16</v>
      </c>
      <c r="U14" s="339">
        <f t="shared" ref="U14:U35" si="7">SUM(Q14:T14)</f>
        <v>62</v>
      </c>
      <c r="V14" s="540">
        <v>3</v>
      </c>
      <c r="W14" s="540"/>
      <c r="X14" s="349">
        <f>COUNTIFS($I$13:$I$104,"x",$H$13:$H$104,"sử")*4.5</f>
        <v>9</v>
      </c>
      <c r="Y14" s="349"/>
      <c r="Z14" s="547">
        <f>SUM(V14:Y14)</f>
        <v>12</v>
      </c>
      <c r="AA14" s="330">
        <f t="shared" si="4"/>
        <v>74</v>
      </c>
      <c r="AB14" s="543"/>
      <c r="AC14" s="543"/>
      <c r="AD14" s="351">
        <f t="shared" ref="AD14:AD29" si="8">SUM((K14*19),AC14)-AB14</f>
        <v>76</v>
      </c>
      <c r="AE14" s="330">
        <f t="shared" si="5"/>
        <v>-2</v>
      </c>
      <c r="AF14" s="557">
        <f>AA14/(K14)</f>
        <v>18.5</v>
      </c>
      <c r="AG14" s="557">
        <f t="shared" si="6"/>
        <v>3.8947368421052633</v>
      </c>
      <c r="AH14" s="557">
        <f t="shared" ref="AH14:AH29" si="9">IF(K14&gt;AG14,K14-AG14,0)</f>
        <v>0.10526315789473673</v>
      </c>
      <c r="AI14" s="557">
        <f t="shared" ref="AI14:AI29" si="10">IF(AG14&gt;K14,AG14-K14,0)</f>
        <v>0</v>
      </c>
      <c r="AJ14" s="212"/>
      <c r="AL14" s="115">
        <v>4</v>
      </c>
    </row>
    <row r="15" spans="1:38" x14ac:dyDescent="0.25">
      <c r="A15" s="220"/>
      <c r="B15" s="128">
        <f>IF(D15&lt;&gt;0,MAX($B$5:B14)+1,"")</f>
        <v>8</v>
      </c>
      <c r="C15" s="163">
        <f>IF(D15=0,0,MAX($C$13:C14)+1)</f>
        <v>3</v>
      </c>
      <c r="D15" s="162" t="str">
        <f>IF(NSTonghop!$E17&lt;&gt;0,0,NSTonghop!F17)</f>
        <v>Dương Thanh Phong</v>
      </c>
      <c r="E15" s="168">
        <f>IF(NSTonghop!$E17&lt;&gt;0,0,NSTonghop!G17)</f>
        <v>0</v>
      </c>
      <c r="F15" s="162" t="str">
        <f>IF(NSTonghop!$E17&lt;&gt;0,0,NSTonghop!X17)</f>
        <v>TD</v>
      </c>
      <c r="G15" s="162">
        <f>IF(NSTonghop!$E17&lt;&gt;0,0,NSTonghop!Y17)</f>
        <v>0</v>
      </c>
      <c r="H15" s="162"/>
      <c r="I15" s="304"/>
      <c r="J15" s="304"/>
      <c r="K15" s="553">
        <f>COUNTIF($H$13:$H$89,"Địa")</f>
        <v>4</v>
      </c>
      <c r="L15" s="334" t="s">
        <v>1053</v>
      </c>
      <c r="M15" s="335">
        <v>1</v>
      </c>
      <c r="N15" s="335">
        <v>2</v>
      </c>
      <c r="O15" s="335">
        <v>2</v>
      </c>
      <c r="P15" s="335">
        <v>2</v>
      </c>
      <c r="Q15" s="341">
        <f t="shared" si="0"/>
        <v>10</v>
      </c>
      <c r="R15" s="341">
        <f t="shared" si="1"/>
        <v>18</v>
      </c>
      <c r="S15" s="341">
        <f t="shared" si="2"/>
        <v>18</v>
      </c>
      <c r="T15" s="341">
        <f t="shared" si="3"/>
        <v>16</v>
      </c>
      <c r="U15" s="339">
        <f t="shared" si="7"/>
        <v>62</v>
      </c>
      <c r="V15" s="540"/>
      <c r="W15" s="540"/>
      <c r="X15" s="349">
        <f>COUNTIFS($I$13:$I$104,"x",$H$13:$H$104,"Địa")*4.5</f>
        <v>9</v>
      </c>
      <c r="Y15" s="349"/>
      <c r="Z15" s="547">
        <f t="shared" ref="Z15:Z35" si="11">SUM(V15:Y15)</f>
        <v>9</v>
      </c>
      <c r="AA15" s="330">
        <f t="shared" si="4"/>
        <v>71</v>
      </c>
      <c r="AB15" s="543"/>
      <c r="AC15" s="543">
        <v>4</v>
      </c>
      <c r="AD15" s="351">
        <f t="shared" si="8"/>
        <v>80</v>
      </c>
      <c r="AE15" s="330">
        <f t="shared" si="5"/>
        <v>-9</v>
      </c>
      <c r="AF15" s="557">
        <f>AA15/(K15)</f>
        <v>17.75</v>
      </c>
      <c r="AG15" s="557">
        <f t="shared" si="6"/>
        <v>3.736842105263158</v>
      </c>
      <c r="AH15" s="557">
        <f t="shared" si="9"/>
        <v>0.26315789473684204</v>
      </c>
      <c r="AI15" s="557">
        <f t="shared" si="10"/>
        <v>0</v>
      </c>
      <c r="AJ15" s="212"/>
      <c r="AL15" s="115">
        <v>5</v>
      </c>
    </row>
    <row r="16" spans="1:38" x14ac:dyDescent="0.25">
      <c r="A16" s="220"/>
      <c r="B16" s="128">
        <f>IF(D16&lt;&gt;0,MAX($B$5:B15)+1,"")</f>
        <v>9</v>
      </c>
      <c r="C16" s="163">
        <f>IF(D16=0,0,MAX($C$13:C15)+1)</f>
        <v>4</v>
      </c>
      <c r="D16" s="162" t="str">
        <f>IF(NSTonghop!$E18&lt;&gt;0,0,NSTonghop!F18)</f>
        <v>Nguyễn Thái Bình</v>
      </c>
      <c r="E16" s="168">
        <f>IF(NSTonghop!$E18&lt;&gt;0,0,NSTonghop!G18)</f>
        <v>0</v>
      </c>
      <c r="F16" s="162" t="str">
        <f>IF(NSTonghop!$E18&lt;&gt;0,0,NSTonghop!X18)</f>
        <v>Văn</v>
      </c>
      <c r="G16" s="162">
        <f>IF(NSTonghop!$E18&lt;&gt;0,0,NSTonghop!Y18)</f>
        <v>0</v>
      </c>
      <c r="H16" s="162"/>
      <c r="I16" s="304"/>
      <c r="J16" s="304"/>
      <c r="K16" s="553">
        <f>COUNTIF($H$13:$H$89,"GD")</f>
        <v>2</v>
      </c>
      <c r="L16" s="334" t="s">
        <v>1054</v>
      </c>
      <c r="M16" s="335">
        <v>1</v>
      </c>
      <c r="N16" s="335">
        <v>1</v>
      </c>
      <c r="O16" s="335">
        <v>1</v>
      </c>
      <c r="P16" s="335">
        <v>1</v>
      </c>
      <c r="Q16" s="341">
        <f t="shared" si="0"/>
        <v>10</v>
      </c>
      <c r="R16" s="341">
        <f t="shared" si="1"/>
        <v>9</v>
      </c>
      <c r="S16" s="341">
        <f t="shared" si="2"/>
        <v>9</v>
      </c>
      <c r="T16" s="341">
        <f t="shared" si="3"/>
        <v>8</v>
      </c>
      <c r="U16" s="339">
        <f t="shared" si="7"/>
        <v>36</v>
      </c>
      <c r="V16" s="540"/>
      <c r="W16" s="540"/>
      <c r="X16" s="349">
        <f>COUNTIFS($I$13:$I$104,"x",$H$13:$H$104,"GD")*4.5</f>
        <v>9</v>
      </c>
      <c r="Y16" s="349"/>
      <c r="Z16" s="547">
        <f t="shared" si="11"/>
        <v>9</v>
      </c>
      <c r="AA16" s="330">
        <f t="shared" si="4"/>
        <v>45</v>
      </c>
      <c r="AB16" s="543"/>
      <c r="AC16" s="543"/>
      <c r="AD16" s="351">
        <f t="shared" si="8"/>
        <v>38</v>
      </c>
      <c r="AE16" s="330">
        <f t="shared" si="5"/>
        <v>7</v>
      </c>
      <c r="AF16" s="557">
        <f>AA16/(K16)</f>
        <v>22.5</v>
      </c>
      <c r="AG16" s="557">
        <f t="shared" si="6"/>
        <v>2.3684210526315788</v>
      </c>
      <c r="AH16" s="557">
        <f t="shared" si="9"/>
        <v>0</v>
      </c>
      <c r="AI16" s="557">
        <f t="shared" si="10"/>
        <v>0.36842105263157876</v>
      </c>
      <c r="AJ16" s="212"/>
      <c r="AL16" s="115">
        <v>3</v>
      </c>
    </row>
    <row r="17" spans="1:39" x14ac:dyDescent="0.25">
      <c r="A17" s="220"/>
      <c r="B17" s="128">
        <f>IF(D17&lt;&gt;0,MAX($B$5:B16)+1,"")</f>
        <v>10</v>
      </c>
      <c r="C17" s="163">
        <f>IF(D17=0,0,MAX($C$13:C16)+1)</f>
        <v>5</v>
      </c>
      <c r="D17" s="162" t="str">
        <f>IF(NSTonghop!$E19&lt;&gt;0,0,NSTonghop!F19)</f>
        <v>Bùi Thông Thái</v>
      </c>
      <c r="E17" s="168">
        <f>IF(NSTonghop!$E19&lt;&gt;0,0,NSTonghop!G19)</f>
        <v>0</v>
      </c>
      <c r="F17" s="162" t="str">
        <f>IF(NSTonghop!$E19&lt;&gt;0,0,NSTonghop!X19)</f>
        <v>Hóa</v>
      </c>
      <c r="G17" s="162" t="str">
        <f>IF(NSTonghop!$E19&lt;&gt;0,0,NSTonghop!Y19)</f>
        <v>Địa</v>
      </c>
      <c r="H17" s="162" t="str">
        <f>G17</f>
        <v>Địa</v>
      </c>
      <c r="I17" s="304"/>
      <c r="J17" s="304"/>
      <c r="K17" s="553">
        <f>COUNTIF($H$13:$H$89,"T.Anh")</f>
        <v>6</v>
      </c>
      <c r="L17" s="334" t="s">
        <v>1055</v>
      </c>
      <c r="M17" s="335">
        <v>3</v>
      </c>
      <c r="N17" s="335">
        <v>3</v>
      </c>
      <c r="O17" s="335">
        <v>3</v>
      </c>
      <c r="P17" s="335">
        <v>2</v>
      </c>
      <c r="Q17" s="341">
        <f t="shared" si="0"/>
        <v>30</v>
      </c>
      <c r="R17" s="341">
        <f t="shared" si="1"/>
        <v>27</v>
      </c>
      <c r="S17" s="341">
        <f t="shared" si="2"/>
        <v>27</v>
      </c>
      <c r="T17" s="341">
        <f t="shared" si="3"/>
        <v>16</v>
      </c>
      <c r="U17" s="339">
        <f t="shared" si="7"/>
        <v>100</v>
      </c>
      <c r="V17" s="540">
        <v>3</v>
      </c>
      <c r="W17" s="540">
        <v>3</v>
      </c>
      <c r="X17" s="349">
        <f>COUNTIFS($I$13:$I$104,"x",$H$13:$H$104,"T.Anh")*4.5</f>
        <v>9</v>
      </c>
      <c r="Y17" s="349"/>
      <c r="Z17" s="547">
        <f t="shared" si="11"/>
        <v>15</v>
      </c>
      <c r="AA17" s="330">
        <f t="shared" si="4"/>
        <v>115</v>
      </c>
      <c r="AB17" s="543"/>
      <c r="AC17" s="543"/>
      <c r="AD17" s="351">
        <f t="shared" si="8"/>
        <v>114</v>
      </c>
      <c r="AE17" s="330">
        <f t="shared" si="5"/>
        <v>1</v>
      </c>
      <c r="AF17" s="557">
        <f>AA17/(K17)</f>
        <v>19.166666666666668</v>
      </c>
      <c r="AG17" s="557">
        <f t="shared" si="6"/>
        <v>6.0526315789473681</v>
      </c>
      <c r="AH17" s="557">
        <f t="shared" si="9"/>
        <v>0</v>
      </c>
      <c r="AI17" s="557">
        <f t="shared" si="10"/>
        <v>5.2631578947368141E-2</v>
      </c>
      <c r="AJ17" s="212"/>
      <c r="AL17" s="115">
        <v>7</v>
      </c>
    </row>
    <row r="18" spans="1:39" s="118" customFormat="1" x14ac:dyDescent="0.25">
      <c r="A18" s="220"/>
      <c r="B18" s="128">
        <f>IF(D18&lt;&gt;0,MAX($B$5:B17)+1,"")</f>
        <v>11</v>
      </c>
      <c r="C18" s="132">
        <f>IF(D18=0,0,1)</f>
        <v>1</v>
      </c>
      <c r="D18" s="128" t="str">
        <f>IF(NSTonghop!$E20&lt;&gt;0,0,NSTonghop!F20)</f>
        <v>Đỗ Viết Hùng</v>
      </c>
      <c r="E18" s="136">
        <f>IF(NSTonghop!$E20&lt;&gt;0,0,NSTonghop!G20)</f>
        <v>0</v>
      </c>
      <c r="F18" s="128" t="str">
        <f>IF(NSTonghop!$E20&lt;&gt;0,0,NSTonghop!X20)</f>
        <v>Văn</v>
      </c>
      <c r="G18" s="128" t="str">
        <f>IF(NSTonghop!$E20&lt;&gt;0,0,NSTonghop!Y20)</f>
        <v>Văn</v>
      </c>
      <c r="H18" s="162" t="str">
        <f t="shared" ref="H18:H81" si="12">G18</f>
        <v>Văn</v>
      </c>
      <c r="I18" s="305"/>
      <c r="J18" s="305"/>
      <c r="K18" s="553"/>
      <c r="L18" s="334" t="s">
        <v>1056</v>
      </c>
      <c r="M18" s="335"/>
      <c r="N18" s="335"/>
      <c r="O18" s="335"/>
      <c r="P18" s="335"/>
      <c r="Q18" s="341">
        <f t="shared" si="0"/>
        <v>0</v>
      </c>
      <c r="R18" s="341">
        <f t="shared" si="1"/>
        <v>0</v>
      </c>
      <c r="S18" s="341">
        <f t="shared" si="2"/>
        <v>0</v>
      </c>
      <c r="T18" s="341">
        <f t="shared" si="3"/>
        <v>0</v>
      </c>
      <c r="U18" s="339">
        <f t="shared" si="7"/>
        <v>0</v>
      </c>
      <c r="V18" s="540"/>
      <c r="W18" s="540"/>
      <c r="X18" s="349"/>
      <c r="Y18" s="349"/>
      <c r="Z18" s="547">
        <f t="shared" si="11"/>
        <v>0</v>
      </c>
      <c r="AA18" s="330">
        <f t="shared" si="4"/>
        <v>0</v>
      </c>
      <c r="AB18" s="544"/>
      <c r="AC18" s="544"/>
      <c r="AD18" s="351">
        <f t="shared" si="8"/>
        <v>0</v>
      </c>
      <c r="AE18" s="330">
        <f t="shared" si="5"/>
        <v>0</v>
      </c>
      <c r="AF18" s="330"/>
      <c r="AG18" s="557">
        <f t="shared" si="6"/>
        <v>0</v>
      </c>
      <c r="AH18" s="557">
        <f t="shared" si="9"/>
        <v>0</v>
      </c>
      <c r="AI18" s="557">
        <f t="shared" si="10"/>
        <v>0</v>
      </c>
      <c r="AJ18" s="212"/>
    </row>
    <row r="19" spans="1:39" s="118" customFormat="1" x14ac:dyDescent="0.25">
      <c r="A19" s="220"/>
      <c r="B19" s="128">
        <f>IF(D19&lt;&gt;0,MAX($B$5:B18)+1,"")</f>
        <v>12</v>
      </c>
      <c r="C19" s="132">
        <f>IF(D19=0,0,MAX($C$18:C18)+1)</f>
        <v>2</v>
      </c>
      <c r="D19" s="128" t="str">
        <f>IF(NSTonghop!$E21&lt;&gt;0,0,NSTonghop!F21)</f>
        <v>Phạm Thị Thanh Loan</v>
      </c>
      <c r="E19" s="136" t="str">
        <f>IF(NSTonghop!$E21&lt;&gt;0,0,NSTonghop!G21)</f>
        <v>x</v>
      </c>
      <c r="F19" s="128" t="str">
        <f>IF(NSTonghop!$E21&lt;&gt;0,0,NSTonghop!X21)</f>
        <v>Văn</v>
      </c>
      <c r="G19" s="128" t="str">
        <f>IF(NSTonghop!$E21&lt;&gt;0,0,NSTonghop!Y21)</f>
        <v>Văn</v>
      </c>
      <c r="H19" s="162" t="str">
        <f t="shared" si="12"/>
        <v>Văn</v>
      </c>
      <c r="I19" s="305" t="s">
        <v>355</v>
      </c>
      <c r="J19" s="305"/>
      <c r="K19" s="553">
        <f>COUNTIF($H$13:$H$89,"Toán")</f>
        <v>10</v>
      </c>
      <c r="L19" s="334" t="s">
        <v>944</v>
      </c>
      <c r="M19" s="335">
        <v>4</v>
      </c>
      <c r="N19" s="335">
        <v>4</v>
      </c>
      <c r="O19" s="335">
        <v>4</v>
      </c>
      <c r="P19" s="335">
        <v>4</v>
      </c>
      <c r="Q19" s="341">
        <f t="shared" si="0"/>
        <v>40</v>
      </c>
      <c r="R19" s="341">
        <f t="shared" si="1"/>
        <v>36</v>
      </c>
      <c r="S19" s="341">
        <f t="shared" si="2"/>
        <v>36</v>
      </c>
      <c r="T19" s="341">
        <f t="shared" si="3"/>
        <v>32</v>
      </c>
      <c r="U19" s="339">
        <f t="shared" si="7"/>
        <v>144</v>
      </c>
      <c r="V19" s="540">
        <v>3</v>
      </c>
      <c r="W19" s="540"/>
      <c r="X19" s="349">
        <f>COUNTIFS($I$13:$I$104,"x",$H$13:$H$104,"Toán")*4.5</f>
        <v>31.5</v>
      </c>
      <c r="Y19" s="349"/>
      <c r="Z19" s="547">
        <f t="shared" si="11"/>
        <v>34.5</v>
      </c>
      <c r="AA19" s="330">
        <f t="shared" si="4"/>
        <v>178.5</v>
      </c>
      <c r="AB19" s="544"/>
      <c r="AC19" s="544">
        <v>4</v>
      </c>
      <c r="AD19" s="351">
        <f t="shared" si="8"/>
        <v>194</v>
      </c>
      <c r="AE19" s="330">
        <f t="shared" si="5"/>
        <v>-15.5</v>
      </c>
      <c r="AF19" s="557">
        <f t="shared" ref="AF19:AF29" si="13">AA19/(K19)</f>
        <v>17.850000000000001</v>
      </c>
      <c r="AG19" s="557">
        <f t="shared" si="6"/>
        <v>9.3947368421052637</v>
      </c>
      <c r="AH19" s="557">
        <f t="shared" si="9"/>
        <v>0.60526315789473628</v>
      </c>
      <c r="AI19" s="557">
        <f t="shared" si="10"/>
        <v>0</v>
      </c>
      <c r="AJ19" s="212"/>
      <c r="AL19" s="118">
        <v>10</v>
      </c>
    </row>
    <row r="20" spans="1:39" s="118" customFormat="1" x14ac:dyDescent="0.25">
      <c r="A20" s="220"/>
      <c r="B20" s="128">
        <f>IF(D20&lt;&gt;0,MAX($B$5:B19)+1,"")</f>
        <v>13</v>
      </c>
      <c r="C20" s="132">
        <f>IF(D20=0,0,MAX($C$18:C19)+1)</f>
        <v>3</v>
      </c>
      <c r="D20" s="128" t="str">
        <f>IF(NSTonghop!$E22&lt;&gt;0,0,NSTonghop!F22)</f>
        <v>Huỳnh Thanh Sơn</v>
      </c>
      <c r="E20" s="136">
        <f>IF(NSTonghop!$E22&lt;&gt;0,0,NSTonghop!G22)</f>
        <v>0</v>
      </c>
      <c r="F20" s="128" t="str">
        <f>IF(NSTonghop!$E22&lt;&gt;0,0,NSTonghop!X22)</f>
        <v>Văn</v>
      </c>
      <c r="G20" s="128" t="str">
        <f>IF(NSTonghop!$E22&lt;&gt;0,0,NSTonghop!Y22)</f>
        <v>Văn</v>
      </c>
      <c r="H20" s="162" t="str">
        <f t="shared" si="12"/>
        <v>Văn</v>
      </c>
      <c r="I20" s="305" t="s">
        <v>355</v>
      </c>
      <c r="J20" s="305"/>
      <c r="K20" s="553">
        <f>COUNTIF($H$13:$H$89,"Lý")</f>
        <v>5</v>
      </c>
      <c r="L20" s="334" t="s">
        <v>1057</v>
      </c>
      <c r="M20" s="335">
        <v>1</v>
      </c>
      <c r="N20" s="335">
        <v>1</v>
      </c>
      <c r="O20" s="335">
        <v>1</v>
      </c>
      <c r="P20" s="335">
        <v>2</v>
      </c>
      <c r="Q20" s="341">
        <f t="shared" si="0"/>
        <v>10</v>
      </c>
      <c r="R20" s="341">
        <f t="shared" si="1"/>
        <v>9</v>
      </c>
      <c r="S20" s="341">
        <f t="shared" si="2"/>
        <v>9</v>
      </c>
      <c r="T20" s="341">
        <f t="shared" si="3"/>
        <v>16</v>
      </c>
      <c r="U20" s="339">
        <f t="shared" si="7"/>
        <v>44</v>
      </c>
      <c r="V20" s="540"/>
      <c r="W20" s="540">
        <v>3</v>
      </c>
      <c r="X20" s="349">
        <f>COUNTIFS($I$13:$I$104,"x",$H$13:$H$104,"Lý")*4.5</f>
        <v>18</v>
      </c>
      <c r="Y20" s="349"/>
      <c r="Z20" s="547">
        <f t="shared" si="11"/>
        <v>21</v>
      </c>
      <c r="AA20" s="330">
        <f t="shared" si="4"/>
        <v>65</v>
      </c>
      <c r="AB20" s="544"/>
      <c r="AC20" s="544"/>
      <c r="AD20" s="351">
        <f t="shared" si="8"/>
        <v>95</v>
      </c>
      <c r="AE20" s="330">
        <f t="shared" si="5"/>
        <v>-30</v>
      </c>
      <c r="AF20" s="557">
        <f t="shared" si="13"/>
        <v>13</v>
      </c>
      <c r="AG20" s="557">
        <f t="shared" si="6"/>
        <v>3.4210526315789473</v>
      </c>
      <c r="AH20" s="557">
        <f t="shared" si="9"/>
        <v>1.5789473684210527</v>
      </c>
      <c r="AI20" s="557">
        <f t="shared" si="10"/>
        <v>0</v>
      </c>
      <c r="AJ20" s="212"/>
      <c r="AL20" s="118">
        <v>4</v>
      </c>
    </row>
    <row r="21" spans="1:39" s="118" customFormat="1" x14ac:dyDescent="0.25">
      <c r="A21" s="220"/>
      <c r="B21" s="128">
        <f>IF(D21&lt;&gt;0,MAX($B$5:B20)+1,"")</f>
        <v>14</v>
      </c>
      <c r="C21" s="132">
        <f>IF(D21=0,0,MAX($C$18:C20)+1)</f>
        <v>4</v>
      </c>
      <c r="D21" s="128" t="str">
        <f>IF(NSTonghop!$E23&lt;&gt;0,0,NSTonghop!F23)</f>
        <v>Nguyễn Thị Phương</v>
      </c>
      <c r="E21" s="136" t="str">
        <f>IF(NSTonghop!$E23&lt;&gt;0,0,NSTonghop!G23)</f>
        <v>x</v>
      </c>
      <c r="F21" s="128" t="str">
        <f>IF(NSTonghop!$E23&lt;&gt;0,0,NSTonghop!X23)</f>
        <v>Văn</v>
      </c>
      <c r="G21" s="128" t="str">
        <f>IF(NSTonghop!$E23&lt;&gt;0,0,NSTonghop!Y23)</f>
        <v>Văn</v>
      </c>
      <c r="H21" s="162" t="str">
        <f t="shared" si="12"/>
        <v>Văn</v>
      </c>
      <c r="I21" s="305" t="s">
        <v>355</v>
      </c>
      <c r="J21" s="305"/>
      <c r="K21" s="553">
        <f>COUNTIF($H$13:$H$89,"Hóa**")</f>
        <v>3</v>
      </c>
      <c r="L21" s="334" t="s">
        <v>1058</v>
      </c>
      <c r="M21" s="335"/>
      <c r="N21" s="335"/>
      <c r="O21" s="335">
        <v>2</v>
      </c>
      <c r="P21" s="335">
        <v>2</v>
      </c>
      <c r="Q21" s="341">
        <f t="shared" si="0"/>
        <v>0</v>
      </c>
      <c r="R21" s="341">
        <f t="shared" si="1"/>
        <v>0</v>
      </c>
      <c r="S21" s="341">
        <f t="shared" si="2"/>
        <v>18</v>
      </c>
      <c r="T21" s="341">
        <f t="shared" si="3"/>
        <v>16</v>
      </c>
      <c r="U21" s="339">
        <f t="shared" si="7"/>
        <v>34</v>
      </c>
      <c r="V21" s="540">
        <v>3</v>
      </c>
      <c r="W21" s="540">
        <v>3</v>
      </c>
      <c r="X21" s="349">
        <f>COUNTIFS($I$13:$I$104,"x",$H$13:$H$104,"Hóa**")*4.5</f>
        <v>9</v>
      </c>
      <c r="Y21" s="349"/>
      <c r="Z21" s="547">
        <f t="shared" si="11"/>
        <v>15</v>
      </c>
      <c r="AA21" s="330">
        <f t="shared" si="4"/>
        <v>49</v>
      </c>
      <c r="AB21" s="544"/>
      <c r="AC21" s="544"/>
      <c r="AD21" s="351">
        <f t="shared" si="8"/>
        <v>57</v>
      </c>
      <c r="AE21" s="330">
        <f t="shared" si="5"/>
        <v>-8</v>
      </c>
      <c r="AF21" s="557">
        <f t="shared" si="13"/>
        <v>16.333333333333332</v>
      </c>
      <c r="AG21" s="557">
        <f t="shared" si="6"/>
        <v>2.5789473684210527</v>
      </c>
      <c r="AH21" s="557">
        <f t="shared" si="9"/>
        <v>0.42105263157894735</v>
      </c>
      <c r="AI21" s="557">
        <f t="shared" si="10"/>
        <v>0</v>
      </c>
      <c r="AJ21" s="212"/>
      <c r="AL21" s="118">
        <v>3</v>
      </c>
    </row>
    <row r="22" spans="1:39" s="118" customFormat="1" x14ac:dyDescent="0.25">
      <c r="A22" s="220"/>
      <c r="B22" s="128">
        <f>IF(D22&lt;&gt;0,MAX($B$5:B21)+1,"")</f>
        <v>15</v>
      </c>
      <c r="C22" s="132">
        <f>IF(D22=0,0,MAX($C$18:C21)+1)</f>
        <v>5</v>
      </c>
      <c r="D22" s="128" t="str">
        <f>IF(NSTonghop!$E24&lt;&gt;0,0,NSTonghop!F24)</f>
        <v>Thiều Thị Kim Tuyến</v>
      </c>
      <c r="E22" s="136" t="str">
        <f>IF(NSTonghop!$E24&lt;&gt;0,0,NSTonghop!G24)</f>
        <v>x</v>
      </c>
      <c r="F22" s="128" t="str">
        <f>IF(NSTonghop!$E24&lt;&gt;0,0,NSTonghop!X24)</f>
        <v>Văn</v>
      </c>
      <c r="G22" s="128" t="str">
        <f>IF(NSTonghop!$E24&lt;&gt;0,0,NSTonghop!Y24)</f>
        <v>Văn</v>
      </c>
      <c r="H22" s="162" t="str">
        <f t="shared" si="12"/>
        <v>Văn</v>
      </c>
      <c r="I22" s="305" t="s">
        <v>355</v>
      </c>
      <c r="J22" s="305"/>
      <c r="K22" s="553">
        <f>COUNTIF($H$13:$H$89,"Sinh")</f>
        <v>4</v>
      </c>
      <c r="L22" s="334" t="s">
        <v>1059</v>
      </c>
      <c r="M22" s="335">
        <v>2</v>
      </c>
      <c r="N22" s="335">
        <v>2</v>
      </c>
      <c r="O22" s="335">
        <v>2</v>
      </c>
      <c r="P22" s="335">
        <v>2</v>
      </c>
      <c r="Q22" s="341">
        <f t="shared" si="0"/>
        <v>20</v>
      </c>
      <c r="R22" s="341">
        <f t="shared" si="1"/>
        <v>18</v>
      </c>
      <c r="S22" s="341">
        <f t="shared" si="2"/>
        <v>18</v>
      </c>
      <c r="T22" s="341">
        <f t="shared" si="3"/>
        <v>16</v>
      </c>
      <c r="U22" s="339">
        <f t="shared" si="7"/>
        <v>72</v>
      </c>
      <c r="V22" s="540"/>
      <c r="W22" s="540"/>
      <c r="X22" s="349">
        <f>COUNTIFS($I$13:$I$104,"x",$H$13:$H$104,"Sinh")*4.5</f>
        <v>13.5</v>
      </c>
      <c r="Y22" s="349"/>
      <c r="Z22" s="547">
        <f t="shared" si="11"/>
        <v>13.5</v>
      </c>
      <c r="AA22" s="330">
        <f t="shared" si="4"/>
        <v>85.5</v>
      </c>
      <c r="AB22" s="544">
        <v>3</v>
      </c>
      <c r="AC22" s="544"/>
      <c r="AD22" s="351">
        <f t="shared" si="8"/>
        <v>73</v>
      </c>
      <c r="AE22" s="330">
        <f t="shared" si="5"/>
        <v>12.5</v>
      </c>
      <c r="AF22" s="557">
        <f t="shared" si="13"/>
        <v>21.375</v>
      </c>
      <c r="AG22" s="557">
        <f t="shared" si="6"/>
        <v>4.5</v>
      </c>
      <c r="AH22" s="557">
        <f t="shared" si="9"/>
        <v>0</v>
      </c>
      <c r="AI22" s="557">
        <f t="shared" si="10"/>
        <v>0.5</v>
      </c>
      <c r="AJ22" s="212"/>
      <c r="AL22" s="118">
        <v>5</v>
      </c>
    </row>
    <row r="23" spans="1:39" s="118" customFormat="1" x14ac:dyDescent="0.25">
      <c r="A23" s="220"/>
      <c r="B23" s="128">
        <f>IF(D23&lt;&gt;0,MAX($B$5:B22)+1,"")</f>
        <v>16</v>
      </c>
      <c r="C23" s="132">
        <f>IF(D23=0,0,MAX($C$18:C22)+1)</f>
        <v>6</v>
      </c>
      <c r="D23" s="128" t="str">
        <f>IF(NSTonghop!$E25&lt;&gt;0,0,NSTonghop!F25)</f>
        <v>Nguyễn Thị Kim Cúc</v>
      </c>
      <c r="E23" s="136" t="str">
        <f>IF(NSTonghop!$E25&lt;&gt;0,0,NSTonghop!G25)</f>
        <v>x</v>
      </c>
      <c r="F23" s="128" t="str">
        <f>IF(NSTonghop!$E25&lt;&gt;0,0,NSTonghop!X25)</f>
        <v>Văn</v>
      </c>
      <c r="G23" s="128" t="str">
        <f>IF(NSTonghop!$E25&lt;&gt;0,0,NSTonghop!Y25)</f>
        <v>Văn</v>
      </c>
      <c r="H23" s="162" t="str">
        <f t="shared" si="12"/>
        <v>Văn</v>
      </c>
      <c r="I23" s="305" t="s">
        <v>355</v>
      </c>
      <c r="J23" s="305"/>
      <c r="K23" s="553">
        <f>COUNTIF($H$13:$H$89,"CNNN")</f>
        <v>1</v>
      </c>
      <c r="L23" s="334" t="s">
        <v>1060</v>
      </c>
      <c r="M23" s="335"/>
      <c r="N23" s="335">
        <v>2</v>
      </c>
      <c r="O23" s="335"/>
      <c r="P23" s="335"/>
      <c r="Q23" s="341">
        <f t="shared" si="0"/>
        <v>0</v>
      </c>
      <c r="R23" s="341">
        <f t="shared" si="1"/>
        <v>18</v>
      </c>
      <c r="S23" s="341">
        <f t="shared" si="2"/>
        <v>0</v>
      </c>
      <c r="T23" s="341">
        <f t="shared" si="3"/>
        <v>0</v>
      </c>
      <c r="U23" s="339">
        <f t="shared" si="7"/>
        <v>18</v>
      </c>
      <c r="V23" s="540"/>
      <c r="W23" s="540">
        <v>3</v>
      </c>
      <c r="X23" s="349">
        <f>COUNTIFS($I$13:$I$104,"x",$H$13:$H$104,"CNNN")*4.5</f>
        <v>0</v>
      </c>
      <c r="Y23" s="349"/>
      <c r="Z23" s="547">
        <f t="shared" si="11"/>
        <v>3</v>
      </c>
      <c r="AA23" s="330">
        <f t="shared" si="4"/>
        <v>21</v>
      </c>
      <c r="AB23" s="544"/>
      <c r="AC23" s="544"/>
      <c r="AD23" s="351">
        <f t="shared" si="8"/>
        <v>19</v>
      </c>
      <c r="AE23" s="330">
        <f t="shared" si="5"/>
        <v>2</v>
      </c>
      <c r="AF23" s="557">
        <f t="shared" si="13"/>
        <v>21</v>
      </c>
      <c r="AG23" s="557">
        <f t="shared" si="6"/>
        <v>1.1052631578947369</v>
      </c>
      <c r="AH23" s="557">
        <f t="shared" si="9"/>
        <v>0</v>
      </c>
      <c r="AI23" s="557">
        <f t="shared" si="10"/>
        <v>0.10526315789473695</v>
      </c>
      <c r="AJ23" s="212"/>
      <c r="AL23" s="118">
        <v>1</v>
      </c>
    </row>
    <row r="24" spans="1:39" s="118" customFormat="1" x14ac:dyDescent="0.25">
      <c r="A24" s="220"/>
      <c r="B24" s="128">
        <f>IF(D24&lt;&gt;0,MAX($B$5:B23)+1,"")</f>
        <v>17</v>
      </c>
      <c r="C24" s="132">
        <f>IF(D24=0,0,MAX($C$18:C23)+1)</f>
        <v>7</v>
      </c>
      <c r="D24" s="128" t="str">
        <f>IF(NSTonghop!$E26&lt;&gt;0,0,NSTonghop!F26)</f>
        <v>Nguyễn Văn Hội</v>
      </c>
      <c r="E24" s="136">
        <f>IF(NSTonghop!$E26&lt;&gt;0,0,NSTonghop!G26)</f>
        <v>0</v>
      </c>
      <c r="F24" s="128" t="str">
        <f>IF(NSTonghop!$E26&lt;&gt;0,0,NSTonghop!X26)</f>
        <v>Văn</v>
      </c>
      <c r="G24" s="128" t="str">
        <f>IF(NSTonghop!$E26&lt;&gt;0,0,NSTonghop!Y26)</f>
        <v>Văn</v>
      </c>
      <c r="H24" s="162" t="str">
        <f t="shared" si="12"/>
        <v>Văn</v>
      </c>
      <c r="I24" s="305" t="s">
        <v>355</v>
      </c>
      <c r="J24" s="305"/>
      <c r="K24" s="553">
        <f>COUNTIF($H$13:$H$89,"CNCN")</f>
        <v>2</v>
      </c>
      <c r="L24" s="336" t="s">
        <v>1061</v>
      </c>
      <c r="M24" s="335"/>
      <c r="N24" s="335"/>
      <c r="O24" s="335">
        <v>2</v>
      </c>
      <c r="P24" s="335">
        <v>2</v>
      </c>
      <c r="Q24" s="341">
        <f t="shared" si="0"/>
        <v>0</v>
      </c>
      <c r="R24" s="341">
        <f t="shared" si="1"/>
        <v>0</v>
      </c>
      <c r="S24" s="341">
        <f t="shared" si="2"/>
        <v>18</v>
      </c>
      <c r="T24" s="341">
        <f t="shared" si="3"/>
        <v>16</v>
      </c>
      <c r="U24" s="339">
        <f t="shared" si="7"/>
        <v>34</v>
      </c>
      <c r="V24" s="540"/>
      <c r="W24" s="540"/>
      <c r="X24" s="349">
        <f>COUNTIFS($I$13:$I$104,"x",$H$13:$H$104,"CNCN")*4.5</f>
        <v>9</v>
      </c>
      <c r="Y24" s="349"/>
      <c r="Z24" s="547">
        <f t="shared" si="11"/>
        <v>9</v>
      </c>
      <c r="AA24" s="330">
        <f t="shared" si="4"/>
        <v>43</v>
      </c>
      <c r="AB24" s="544"/>
      <c r="AC24" s="544"/>
      <c r="AD24" s="351">
        <f t="shared" si="8"/>
        <v>38</v>
      </c>
      <c r="AE24" s="330">
        <f t="shared" si="5"/>
        <v>5</v>
      </c>
      <c r="AF24" s="557">
        <f t="shared" si="13"/>
        <v>21.5</v>
      </c>
      <c r="AG24" s="557">
        <f t="shared" si="6"/>
        <v>2.263157894736842</v>
      </c>
      <c r="AH24" s="557">
        <f t="shared" si="9"/>
        <v>0</v>
      </c>
      <c r="AI24" s="557">
        <f t="shared" si="10"/>
        <v>0.26315789473684204</v>
      </c>
      <c r="AJ24" s="212"/>
      <c r="AL24" s="118">
        <v>2</v>
      </c>
    </row>
    <row r="25" spans="1:39" s="118" customFormat="1" x14ac:dyDescent="0.25">
      <c r="A25" s="220"/>
      <c r="B25" s="128">
        <f>IF(D25&lt;&gt;0,MAX($B$5:B24)+1,"")</f>
        <v>18</v>
      </c>
      <c r="C25" s="132">
        <f>IF(D25=0,0,MAX($C$18:C24)+1)</f>
        <v>8</v>
      </c>
      <c r="D25" s="128" t="str">
        <f>IF(NSTonghop!$E27&lt;&gt;0,0,NSTonghop!F27)</f>
        <v>Nguyễn Hoàng Tuấn</v>
      </c>
      <c r="E25" s="136">
        <f>IF(NSTonghop!$E27&lt;&gt;0,0,NSTonghop!G27)</f>
        <v>0</v>
      </c>
      <c r="F25" s="128" t="str">
        <f>IF(NSTonghop!$E27&lt;&gt;0,0,NSTonghop!X27)</f>
        <v>Văn</v>
      </c>
      <c r="G25" s="128" t="str">
        <f>IF(NSTonghop!$E27&lt;&gt;0,0,NSTonghop!Y27)</f>
        <v>Văn</v>
      </c>
      <c r="H25" s="162" t="str">
        <f t="shared" si="12"/>
        <v>Văn</v>
      </c>
      <c r="I25" s="305"/>
      <c r="J25" s="305"/>
      <c r="K25" s="553">
        <f>COUNTIF($H$13:$H$89,"CNPV")</f>
        <v>1</v>
      </c>
      <c r="L25" s="336" t="s">
        <v>1062</v>
      </c>
      <c r="M25" s="335">
        <v>2</v>
      </c>
      <c r="N25" s="335"/>
      <c r="O25" s="335"/>
      <c r="P25" s="335"/>
      <c r="Q25" s="341">
        <f t="shared" si="0"/>
        <v>20</v>
      </c>
      <c r="R25" s="341">
        <f t="shared" si="1"/>
        <v>0</v>
      </c>
      <c r="S25" s="341">
        <f t="shared" si="2"/>
        <v>0</v>
      </c>
      <c r="T25" s="341">
        <f t="shared" si="3"/>
        <v>0</v>
      </c>
      <c r="U25" s="339">
        <f t="shared" si="7"/>
        <v>20</v>
      </c>
      <c r="V25" s="540"/>
      <c r="W25" s="540"/>
      <c r="X25" s="349">
        <f>COUNTIFS($I$13:$I$104,"x",$H$13:$H$104,"CNPV")*4.5</f>
        <v>0</v>
      </c>
      <c r="Y25" s="349"/>
      <c r="Z25" s="547">
        <f t="shared" si="11"/>
        <v>0</v>
      </c>
      <c r="AA25" s="330">
        <f t="shared" si="4"/>
        <v>20</v>
      </c>
      <c r="AB25" s="544"/>
      <c r="AC25" s="544">
        <v>2</v>
      </c>
      <c r="AD25" s="351">
        <f t="shared" si="8"/>
        <v>21</v>
      </c>
      <c r="AE25" s="330">
        <f t="shared" si="5"/>
        <v>-1</v>
      </c>
      <c r="AF25" s="557">
        <f t="shared" si="13"/>
        <v>20</v>
      </c>
      <c r="AG25" s="557">
        <f t="shared" si="6"/>
        <v>1.0526315789473684</v>
      </c>
      <c r="AH25" s="557">
        <f t="shared" si="9"/>
        <v>0</v>
      </c>
      <c r="AI25" s="557">
        <f t="shared" si="10"/>
        <v>5.2631578947368363E-2</v>
      </c>
      <c r="AJ25" s="212"/>
      <c r="AL25" s="118">
        <v>1</v>
      </c>
    </row>
    <row r="26" spans="1:39" s="118" customFormat="1" x14ac:dyDescent="0.25">
      <c r="A26" s="220"/>
      <c r="B26" s="128">
        <f>IF(D26&lt;&gt;0,MAX($B$5:B25)+1,"")</f>
        <v>19</v>
      </c>
      <c r="C26" s="132">
        <f>IF(D26=0,0,MAX($C$18:C25)+1)</f>
        <v>9</v>
      </c>
      <c r="D26" s="128" t="str">
        <f>IF(NSTonghop!$E28&lt;&gt;0,0,NSTonghop!F28)</f>
        <v>Nguyễn Thị Kim Nghe</v>
      </c>
      <c r="E26" s="136" t="str">
        <f>IF(NSTonghop!$E28&lt;&gt;0,0,NSTonghop!G28)</f>
        <v>x</v>
      </c>
      <c r="F26" s="128" t="str">
        <f>IF(NSTonghop!$E28&lt;&gt;0,0,NSTonghop!X28)</f>
        <v>Văn</v>
      </c>
      <c r="G26" s="128" t="str">
        <f>IF(NSTonghop!$E28&lt;&gt;0,0,NSTonghop!Y28)</f>
        <v>CNPV</v>
      </c>
      <c r="H26" s="162" t="str">
        <f t="shared" si="12"/>
        <v>CNPV</v>
      </c>
      <c r="I26" s="305"/>
      <c r="J26" s="305"/>
      <c r="K26" s="553">
        <f>COUNTIF($H$13:$H$89,"Tin")</f>
        <v>3</v>
      </c>
      <c r="L26" s="336" t="s">
        <v>18</v>
      </c>
      <c r="M26" s="335">
        <v>2</v>
      </c>
      <c r="N26" s="335">
        <v>2</v>
      </c>
      <c r="O26" s="335">
        <v>2</v>
      </c>
      <c r="P26" s="335">
        <v>2</v>
      </c>
      <c r="Q26" s="341">
        <f t="shared" si="0"/>
        <v>20</v>
      </c>
      <c r="R26" s="341">
        <f t="shared" si="1"/>
        <v>18</v>
      </c>
      <c r="S26" s="341">
        <f t="shared" si="2"/>
        <v>18</v>
      </c>
      <c r="T26" s="341">
        <f t="shared" si="3"/>
        <v>16</v>
      </c>
      <c r="U26" s="339">
        <f t="shared" si="7"/>
        <v>72</v>
      </c>
      <c r="V26" s="540"/>
      <c r="W26" s="540">
        <v>3</v>
      </c>
      <c r="X26" s="349">
        <f>COUNTIFS($I$13:$I$104,"x",$H$13:$H$104,"tin")*4.5</f>
        <v>9</v>
      </c>
      <c r="Y26" s="349"/>
      <c r="Z26" s="547">
        <f t="shared" si="11"/>
        <v>12</v>
      </c>
      <c r="AA26" s="330">
        <f t="shared" si="4"/>
        <v>84</v>
      </c>
      <c r="AB26" s="544"/>
      <c r="AC26" s="544"/>
      <c r="AD26" s="351">
        <f t="shared" si="8"/>
        <v>57</v>
      </c>
      <c r="AE26" s="330">
        <f t="shared" si="5"/>
        <v>27</v>
      </c>
      <c r="AF26" s="557">
        <f t="shared" si="13"/>
        <v>28</v>
      </c>
      <c r="AG26" s="557">
        <f t="shared" si="6"/>
        <v>4.4210526315789478</v>
      </c>
      <c r="AH26" s="557">
        <f t="shared" si="9"/>
        <v>0</v>
      </c>
      <c r="AI26" s="557">
        <f t="shared" si="10"/>
        <v>1.4210526315789478</v>
      </c>
      <c r="AJ26" s="212"/>
      <c r="AL26" s="118">
        <v>5</v>
      </c>
    </row>
    <row r="27" spans="1:39" s="118" customFormat="1" x14ac:dyDescent="0.25">
      <c r="A27" s="220"/>
      <c r="B27" s="128" t="str">
        <f>IF(D27&lt;&gt;0,MAX($B$5:B26)+1,"")</f>
        <v/>
      </c>
      <c r="C27" s="132">
        <f>IF(D27=0,0,MAX($C$18:C26)+1)</f>
        <v>0</v>
      </c>
      <c r="D27" s="128">
        <f>IF(NSTonghop!$E29&lt;&gt;0,0,NSTonghop!F29)</f>
        <v>0</v>
      </c>
      <c r="E27" s="136">
        <f>IF(NSTonghop!$E29&lt;&gt;0,0,NSTonghop!G29)</f>
        <v>0</v>
      </c>
      <c r="F27" s="128">
        <f>IF(NSTonghop!$E29&lt;&gt;0,0,NSTonghop!X29)</f>
        <v>0</v>
      </c>
      <c r="G27" s="128">
        <f>IF(NSTonghop!$E29&lt;&gt;0,0,NSTonghop!Y29)</f>
        <v>0</v>
      </c>
      <c r="H27" s="162">
        <f t="shared" si="12"/>
        <v>0</v>
      </c>
      <c r="I27" s="305"/>
      <c r="J27" s="305"/>
      <c r="K27" s="553">
        <f>COUNTIF($H$13:$H$89,"TD")</f>
        <v>4</v>
      </c>
      <c r="L27" s="334" t="s">
        <v>1063</v>
      </c>
      <c r="M27" s="335">
        <v>2</v>
      </c>
      <c r="N27" s="335">
        <v>2</v>
      </c>
      <c r="O27" s="335">
        <v>2</v>
      </c>
      <c r="P27" s="335">
        <v>2</v>
      </c>
      <c r="Q27" s="341">
        <f t="shared" si="0"/>
        <v>20</v>
      </c>
      <c r="R27" s="341">
        <f t="shared" si="1"/>
        <v>18</v>
      </c>
      <c r="S27" s="341">
        <f t="shared" si="2"/>
        <v>18</v>
      </c>
      <c r="T27" s="341">
        <f t="shared" si="3"/>
        <v>16</v>
      </c>
      <c r="U27" s="339">
        <f t="shared" si="7"/>
        <v>72</v>
      </c>
      <c r="V27" s="540"/>
      <c r="W27" s="540"/>
      <c r="X27" s="349">
        <f>COUNTIFS($I$13:$I$104,"x",$H$13:$H$104,"TD")*4.5</f>
        <v>4.5</v>
      </c>
      <c r="Y27" s="349"/>
      <c r="Z27" s="547">
        <f t="shared" si="11"/>
        <v>4.5</v>
      </c>
      <c r="AA27" s="330">
        <f t="shared" si="4"/>
        <v>76.5</v>
      </c>
      <c r="AB27" s="544"/>
      <c r="AC27" s="544">
        <v>4</v>
      </c>
      <c r="AD27" s="351">
        <f t="shared" si="8"/>
        <v>80</v>
      </c>
      <c r="AE27" s="330">
        <f t="shared" si="5"/>
        <v>-3.5</v>
      </c>
      <c r="AF27" s="557">
        <f t="shared" si="13"/>
        <v>19.125</v>
      </c>
      <c r="AG27" s="557">
        <f t="shared" si="6"/>
        <v>4.0263157894736841</v>
      </c>
      <c r="AH27" s="557">
        <f t="shared" si="9"/>
        <v>0</v>
      </c>
      <c r="AI27" s="557">
        <f t="shared" si="10"/>
        <v>2.631578947368407E-2</v>
      </c>
      <c r="AJ27" s="212"/>
      <c r="AL27" s="118">
        <v>4</v>
      </c>
    </row>
    <row r="28" spans="1:39" s="118" customFormat="1" x14ac:dyDescent="0.25">
      <c r="A28" s="220"/>
      <c r="B28" s="128">
        <f>IF(D28&lt;&gt;0,MAX($B$5:B27)+1,"")</f>
        <v>20</v>
      </c>
      <c r="C28" s="132">
        <f>IF(D28=0,0,MAX($C$18:C27)+1)</f>
        <v>10</v>
      </c>
      <c r="D28" s="128" t="str">
        <f>IF(NSTonghop!$E30&lt;&gt;0,0,NSTonghop!F30)</f>
        <v>Trần Khắc Cường</v>
      </c>
      <c r="E28" s="136">
        <f>IF(NSTonghop!$E30&lt;&gt;0,0,NSTonghop!G30)</f>
        <v>0</v>
      </c>
      <c r="F28" s="128" t="str">
        <f>IF(NSTonghop!$E30&lt;&gt;0,0,NSTonghop!X30)</f>
        <v>Văn</v>
      </c>
      <c r="G28" s="128" t="str">
        <f>IF(NSTonghop!$E30&lt;&gt;0,0,NSTonghop!Y30)</f>
        <v>Văn</v>
      </c>
      <c r="H28" s="162" t="str">
        <f t="shared" si="12"/>
        <v>Văn</v>
      </c>
      <c r="I28" s="305"/>
      <c r="J28" s="305"/>
      <c r="K28" s="553">
        <f>COUNTIF($H$13:$H$89,"Nhạc")</f>
        <v>2</v>
      </c>
      <c r="L28" s="334" t="s">
        <v>1064</v>
      </c>
      <c r="M28" s="335">
        <v>1</v>
      </c>
      <c r="N28" s="335">
        <v>1</v>
      </c>
      <c r="O28" s="335">
        <v>1</v>
      </c>
      <c r="P28" s="335">
        <v>1</v>
      </c>
      <c r="Q28" s="341">
        <f t="shared" si="0"/>
        <v>10</v>
      </c>
      <c r="R28" s="341">
        <f t="shared" si="1"/>
        <v>9</v>
      </c>
      <c r="S28" s="341">
        <f t="shared" si="2"/>
        <v>9</v>
      </c>
      <c r="T28" s="341">
        <f t="shared" si="3"/>
        <v>8</v>
      </c>
      <c r="U28" s="339">
        <f t="shared" si="7"/>
        <v>36</v>
      </c>
      <c r="V28" s="540">
        <v>3</v>
      </c>
      <c r="W28" s="540"/>
      <c r="X28" s="349">
        <f>COUNTIFS($I$13:$I$104,"x",$H$13:$H$104,"Nhạc")*4.5</f>
        <v>0</v>
      </c>
      <c r="Y28" s="349"/>
      <c r="Z28" s="547">
        <f t="shared" si="11"/>
        <v>3</v>
      </c>
      <c r="AA28" s="330">
        <f t="shared" si="4"/>
        <v>39</v>
      </c>
      <c r="AB28" s="544"/>
      <c r="AC28" s="544"/>
      <c r="AD28" s="351">
        <f t="shared" si="8"/>
        <v>38</v>
      </c>
      <c r="AE28" s="330">
        <f t="shared" si="5"/>
        <v>1</v>
      </c>
      <c r="AF28" s="557">
        <f t="shared" si="13"/>
        <v>19.5</v>
      </c>
      <c r="AG28" s="557">
        <f t="shared" si="6"/>
        <v>2.0526315789473686</v>
      </c>
      <c r="AH28" s="557">
        <f t="shared" si="9"/>
        <v>0</v>
      </c>
      <c r="AI28" s="557">
        <f t="shared" si="10"/>
        <v>5.2631578947368585E-2</v>
      </c>
      <c r="AJ28" s="212"/>
      <c r="AL28" s="118">
        <v>2</v>
      </c>
    </row>
    <row r="29" spans="1:39" s="118" customFormat="1" x14ac:dyDescent="0.25">
      <c r="A29" s="220"/>
      <c r="B29" s="128">
        <f>IF(D29&lt;&gt;0,MAX($B$5:B28)+1,"")</f>
        <v>21</v>
      </c>
      <c r="C29" s="132">
        <f>IF(D29=0,0,MAX($C$18:C28)+1)</f>
        <v>11</v>
      </c>
      <c r="D29" s="128" t="str">
        <f>IF(NSTonghop!$E31&lt;&gt;0,0,NSTonghop!F31)</f>
        <v>Phạm Thị Ba</v>
      </c>
      <c r="E29" s="136" t="str">
        <f>IF(NSTonghop!$E31&lt;&gt;0,0,NSTonghop!G31)</f>
        <v>x</v>
      </c>
      <c r="F29" s="128" t="str">
        <f>IF(NSTonghop!$E31&lt;&gt;0,0,NSTonghop!X31)</f>
        <v>Văn</v>
      </c>
      <c r="G29" s="128" t="str">
        <f>IF(NSTonghop!$E31&lt;&gt;0,0,NSTonghop!Y31)</f>
        <v>Văn</v>
      </c>
      <c r="H29" s="162" t="str">
        <f t="shared" si="12"/>
        <v>Văn</v>
      </c>
      <c r="I29" s="305"/>
      <c r="J29" s="305"/>
      <c r="K29" s="553">
        <f>COUNTIF($H$13:$H$89,"MT")</f>
        <v>2</v>
      </c>
      <c r="L29" s="334" t="s">
        <v>1065</v>
      </c>
      <c r="M29" s="335">
        <v>1</v>
      </c>
      <c r="N29" s="335">
        <v>1</v>
      </c>
      <c r="O29" s="335">
        <v>1</v>
      </c>
      <c r="P29" s="335">
        <v>1</v>
      </c>
      <c r="Q29" s="341">
        <f t="shared" si="0"/>
        <v>10</v>
      </c>
      <c r="R29" s="341">
        <f t="shared" si="1"/>
        <v>9</v>
      </c>
      <c r="S29" s="341">
        <f t="shared" si="2"/>
        <v>9</v>
      </c>
      <c r="T29" s="341">
        <f t="shared" si="3"/>
        <v>8</v>
      </c>
      <c r="U29" s="339">
        <f t="shared" si="7"/>
        <v>36</v>
      </c>
      <c r="V29" s="540"/>
      <c r="W29" s="540"/>
      <c r="X29" s="349">
        <f>COUNTIFS($I$13:$I$104,"x",$H$13:$H$104,"MT")*4.5</f>
        <v>4.5</v>
      </c>
      <c r="Y29" s="349"/>
      <c r="Z29" s="547">
        <f t="shared" si="11"/>
        <v>4.5</v>
      </c>
      <c r="AA29" s="330">
        <f t="shared" si="4"/>
        <v>40.5</v>
      </c>
      <c r="AB29" s="544"/>
      <c r="AC29" s="544"/>
      <c r="AD29" s="351">
        <f t="shared" si="8"/>
        <v>38</v>
      </c>
      <c r="AE29" s="330">
        <f t="shared" si="5"/>
        <v>2.5</v>
      </c>
      <c r="AF29" s="557">
        <f t="shared" si="13"/>
        <v>20.25</v>
      </c>
      <c r="AG29" s="557">
        <f t="shared" si="6"/>
        <v>2.1315789473684212</v>
      </c>
      <c r="AH29" s="557">
        <f t="shared" si="9"/>
        <v>0</v>
      </c>
      <c r="AI29" s="557">
        <f t="shared" si="10"/>
        <v>0.13157894736842124</v>
      </c>
      <c r="AJ29" s="212"/>
      <c r="AL29" s="118">
        <v>2</v>
      </c>
    </row>
    <row r="30" spans="1:39" s="118" customFormat="1" x14ac:dyDescent="0.25">
      <c r="A30" s="220"/>
      <c r="B30" s="128" t="str">
        <f>IF(D30&lt;&gt;0,MAX($B$5:B29)+1,"")</f>
        <v/>
      </c>
      <c r="C30" s="132">
        <f>IF(D30=0,0,MAX($C$18:C29)+1)</f>
        <v>0</v>
      </c>
      <c r="D30" s="128">
        <f>IF(NSTonghop!$E32&lt;&gt;0,0,NSTonghop!F32)</f>
        <v>0</v>
      </c>
      <c r="E30" s="136">
        <f>IF(NSTonghop!$E32&lt;&gt;0,0,NSTonghop!G32)</f>
        <v>0</v>
      </c>
      <c r="F30" s="128">
        <f>IF(NSTonghop!$E32&lt;&gt;0,0,NSTonghop!X32)</f>
        <v>0</v>
      </c>
      <c r="G30" s="128">
        <f>IF(NSTonghop!$E32&lt;&gt;0,0,NSTonghop!Y32)</f>
        <v>0</v>
      </c>
      <c r="H30" s="162">
        <f t="shared" si="12"/>
        <v>0</v>
      </c>
      <c r="I30" s="305"/>
      <c r="J30" s="305"/>
      <c r="K30" s="553"/>
      <c r="L30" s="334" t="s">
        <v>1066</v>
      </c>
      <c r="M30" s="335">
        <v>1</v>
      </c>
      <c r="N30" s="335">
        <v>1</v>
      </c>
      <c r="O30" s="335">
        <v>1</v>
      </c>
      <c r="P30" s="335">
        <v>1</v>
      </c>
      <c r="Q30" s="341">
        <f t="shared" si="0"/>
        <v>10</v>
      </c>
      <c r="R30" s="341">
        <f t="shared" si="1"/>
        <v>9</v>
      </c>
      <c r="S30" s="341">
        <f t="shared" si="2"/>
        <v>9</v>
      </c>
      <c r="T30" s="341">
        <f t="shared" si="3"/>
        <v>8</v>
      </c>
      <c r="U30" s="339">
        <f t="shared" si="7"/>
        <v>36</v>
      </c>
      <c r="V30" s="540"/>
      <c r="W30" s="540"/>
      <c r="X30" s="349"/>
      <c r="Y30" s="349"/>
      <c r="Z30" s="547">
        <f t="shared" si="11"/>
        <v>0</v>
      </c>
      <c r="AA30" s="330">
        <f t="shared" si="4"/>
        <v>36</v>
      </c>
      <c r="AB30" s="544"/>
      <c r="AC30" s="544"/>
      <c r="AD30" s="352"/>
      <c r="AE30" s="330"/>
      <c r="AF30" s="330"/>
      <c r="AG30" s="557"/>
      <c r="AH30" s="557"/>
      <c r="AI30" s="557"/>
      <c r="AJ30" s="212"/>
      <c r="AL30" s="118">
        <f>SUM(AL13:AL29)</f>
        <v>68</v>
      </c>
      <c r="AM30" s="118">
        <f>R38*1.9</f>
        <v>68.399999999999991</v>
      </c>
    </row>
    <row r="31" spans="1:39" s="118" customFormat="1" x14ac:dyDescent="0.25">
      <c r="A31" s="220"/>
      <c r="B31" s="128" t="str">
        <f>IF(D31&lt;&gt;0,MAX($B$5:B30)+1,"")</f>
        <v/>
      </c>
      <c r="C31" s="132">
        <f>IF(D31=0,0,MAX($C$18:C30)+1)</f>
        <v>0</v>
      </c>
      <c r="D31" s="142">
        <f>IF(NSTonghop!$E33&lt;&gt;0,0,NSTonghop!F33)</f>
        <v>0</v>
      </c>
      <c r="E31" s="148">
        <f>IF(NSTonghop!$E33&lt;&gt;0,0,NSTonghop!G33)</f>
        <v>0</v>
      </c>
      <c r="F31" s="142">
        <f>IF(NSTonghop!$E33&lt;&gt;0,0,NSTonghop!X33)</f>
        <v>0</v>
      </c>
      <c r="G31" s="142">
        <f>IF(NSTonghop!$E33&lt;&gt;0,0,NSTonghop!Y33)</f>
        <v>0</v>
      </c>
      <c r="H31" s="173">
        <f t="shared" si="12"/>
        <v>0</v>
      </c>
      <c r="I31" s="305"/>
      <c r="J31" s="305"/>
      <c r="K31" s="553"/>
      <c r="L31" s="334" t="s">
        <v>1067</v>
      </c>
      <c r="M31" s="335">
        <v>1</v>
      </c>
      <c r="N31" s="335">
        <v>1</v>
      </c>
      <c r="O31" s="335">
        <v>1</v>
      </c>
      <c r="P31" s="335">
        <v>1</v>
      </c>
      <c r="Q31" s="341">
        <f t="shared" si="0"/>
        <v>10</v>
      </c>
      <c r="R31" s="341">
        <f t="shared" si="1"/>
        <v>9</v>
      </c>
      <c r="S31" s="341">
        <f t="shared" si="2"/>
        <v>9</v>
      </c>
      <c r="T31" s="341">
        <f t="shared" si="3"/>
        <v>8</v>
      </c>
      <c r="U31" s="339">
        <f t="shared" si="7"/>
        <v>36</v>
      </c>
      <c r="V31" s="540"/>
      <c r="W31" s="540"/>
      <c r="X31" s="349"/>
      <c r="Y31" s="349"/>
      <c r="Z31" s="547">
        <f t="shared" si="11"/>
        <v>0</v>
      </c>
      <c r="AA31" s="330">
        <f t="shared" si="4"/>
        <v>36</v>
      </c>
      <c r="AB31" s="544"/>
      <c r="AC31" s="544"/>
      <c r="AD31" s="352"/>
      <c r="AE31" s="330"/>
      <c r="AF31" s="330"/>
      <c r="AG31" s="557"/>
      <c r="AH31" s="557"/>
      <c r="AI31" s="557"/>
      <c r="AJ31" s="212"/>
    </row>
    <row r="32" spans="1:39" x14ac:dyDescent="0.25">
      <c r="A32" s="220"/>
      <c r="B32" s="128">
        <f>IF(D32&lt;&gt;0,MAX($B$5:B31)+1,"")</f>
        <v>22</v>
      </c>
      <c r="C32" s="152">
        <f>IF(D32=0,0,1)</f>
        <v>1</v>
      </c>
      <c r="D32" s="151" t="str">
        <f>IF(NSTonghop!$E34&lt;&gt;0,0,NSTonghop!F34)</f>
        <v>Trịnh Công Vĩnh</v>
      </c>
      <c r="E32" s="157">
        <f>IF(NSTonghop!$E34&lt;&gt;0,0,NSTonghop!G34)</f>
        <v>0</v>
      </c>
      <c r="F32" s="151" t="str">
        <f>IF(NSTonghop!$E34&lt;&gt;0,0,NSTonghop!X34)</f>
        <v>Sử</v>
      </c>
      <c r="G32" s="151" t="str">
        <f>IF(NSTonghop!$E34&lt;&gt;0,0,NSTonghop!Y34)</f>
        <v>Sử</v>
      </c>
      <c r="H32" s="151" t="str">
        <f t="shared" si="12"/>
        <v>Sử</v>
      </c>
      <c r="I32" s="304"/>
      <c r="J32" s="304"/>
      <c r="K32" s="553"/>
      <c r="L32" s="334" t="s">
        <v>1068</v>
      </c>
      <c r="M32" s="335">
        <v>1</v>
      </c>
      <c r="N32" s="335">
        <v>1</v>
      </c>
      <c r="O32" s="335">
        <v>1</v>
      </c>
      <c r="P32" s="335">
        <v>1</v>
      </c>
      <c r="Q32" s="341">
        <f t="shared" si="0"/>
        <v>10</v>
      </c>
      <c r="R32" s="341">
        <f t="shared" si="1"/>
        <v>9</v>
      </c>
      <c r="S32" s="341">
        <f t="shared" si="2"/>
        <v>9</v>
      </c>
      <c r="T32" s="341">
        <f t="shared" si="3"/>
        <v>8</v>
      </c>
      <c r="U32" s="339">
        <f t="shared" si="7"/>
        <v>36</v>
      </c>
      <c r="V32" s="540"/>
      <c r="W32" s="540"/>
      <c r="X32" s="349"/>
      <c r="Y32" s="349"/>
      <c r="Z32" s="547">
        <f t="shared" si="11"/>
        <v>0</v>
      </c>
      <c r="AA32" s="330">
        <f t="shared" si="4"/>
        <v>36</v>
      </c>
      <c r="AB32" s="543"/>
      <c r="AC32" s="543"/>
      <c r="AD32" s="352"/>
      <c r="AE32" s="330"/>
      <c r="AF32" s="330"/>
      <c r="AG32" s="557"/>
      <c r="AH32" s="557"/>
      <c r="AI32" s="557"/>
      <c r="AJ32" s="212"/>
    </row>
    <row r="33" spans="1:36" x14ac:dyDescent="0.25">
      <c r="A33" s="220"/>
      <c r="B33" s="128">
        <f>IF(D33&lt;&gt;0,MAX($B$5:B32)+1,"")</f>
        <v>23</v>
      </c>
      <c r="C33" s="163">
        <f>IF(D33=0,0,MAX($C$32:C32)+1)</f>
        <v>2</v>
      </c>
      <c r="D33" s="162" t="str">
        <f>IF(NSTonghop!$E35&lt;&gt;0,0,NSTonghop!F35)</f>
        <v>Trần Thị Kim Hương</v>
      </c>
      <c r="E33" s="168" t="str">
        <f>IF(NSTonghop!$E35&lt;&gt;0,0,NSTonghop!G35)</f>
        <v>x</v>
      </c>
      <c r="F33" s="162" t="str">
        <f>IF(NSTonghop!$E35&lt;&gt;0,0,NSTonghop!X35)</f>
        <v>Sử</v>
      </c>
      <c r="G33" s="162" t="str">
        <f>IF(NSTonghop!$E35&lt;&gt;0,0,NSTonghop!Y35)</f>
        <v>Sử</v>
      </c>
      <c r="H33" s="162" t="str">
        <f t="shared" si="12"/>
        <v>Sử</v>
      </c>
      <c r="I33" s="304" t="s">
        <v>355</v>
      </c>
      <c r="J33" s="304"/>
      <c r="K33" s="553"/>
      <c r="L33" s="334" t="s">
        <v>1042</v>
      </c>
      <c r="M33" s="335">
        <v>0.5</v>
      </c>
      <c r="N33" s="335">
        <v>0.5</v>
      </c>
      <c r="O33" s="335">
        <v>0.5</v>
      </c>
      <c r="P33" s="335">
        <v>0.5</v>
      </c>
      <c r="Q33" s="341">
        <f t="shared" si="0"/>
        <v>5</v>
      </c>
      <c r="R33" s="341">
        <f t="shared" si="1"/>
        <v>4.5</v>
      </c>
      <c r="S33" s="341">
        <f t="shared" si="2"/>
        <v>4.5</v>
      </c>
      <c r="T33" s="341">
        <f t="shared" si="3"/>
        <v>4</v>
      </c>
      <c r="U33" s="339">
        <f t="shared" si="7"/>
        <v>18</v>
      </c>
      <c r="V33" s="540"/>
      <c r="W33" s="540"/>
      <c r="X33" s="349"/>
      <c r="Y33" s="349"/>
      <c r="Z33" s="547">
        <f t="shared" si="11"/>
        <v>0</v>
      </c>
      <c r="AA33" s="330">
        <f t="shared" si="4"/>
        <v>18</v>
      </c>
      <c r="AB33" s="543"/>
      <c r="AC33" s="543"/>
      <c r="AD33" s="352"/>
      <c r="AE33" s="330"/>
      <c r="AF33" s="330"/>
      <c r="AG33" s="557"/>
      <c r="AH33" s="557"/>
      <c r="AI33" s="557"/>
      <c r="AJ33" s="212"/>
    </row>
    <row r="34" spans="1:36" x14ac:dyDescent="0.25">
      <c r="A34" s="220"/>
      <c r="B34" s="128">
        <f>IF(D34&lt;&gt;0,MAX($B$5:B33)+1,"")</f>
        <v>24</v>
      </c>
      <c r="C34" s="163">
        <f>IF(D34=0,0,MAX($C$32:C33)+1)</f>
        <v>3</v>
      </c>
      <c r="D34" s="162" t="str">
        <f>IF(NSTonghop!$E36&lt;&gt;0,0,NSTonghop!F36)</f>
        <v>Tô Thị Kiều</v>
      </c>
      <c r="E34" s="168" t="str">
        <f>IF(NSTonghop!$E36&lt;&gt;0,0,NSTonghop!G36)</f>
        <v>x</v>
      </c>
      <c r="F34" s="162" t="str">
        <f>IF(NSTonghop!$E36&lt;&gt;0,0,NSTonghop!X36)</f>
        <v>Địa</v>
      </c>
      <c r="G34" s="162" t="str">
        <f>IF(NSTonghop!$E36&lt;&gt;0,0,NSTonghop!Y36)</f>
        <v>Địa</v>
      </c>
      <c r="H34" s="162" t="str">
        <f t="shared" si="12"/>
        <v>Địa</v>
      </c>
      <c r="I34" s="304"/>
      <c r="J34" s="304"/>
      <c r="K34" s="553"/>
      <c r="L34" s="334" t="s">
        <v>1043</v>
      </c>
      <c r="M34" s="335"/>
      <c r="N34" s="335"/>
      <c r="O34" s="335"/>
      <c r="P34" s="335">
        <v>0.5</v>
      </c>
      <c r="Q34" s="341">
        <f t="shared" si="0"/>
        <v>0</v>
      </c>
      <c r="R34" s="341">
        <f t="shared" si="1"/>
        <v>0</v>
      </c>
      <c r="S34" s="341">
        <f t="shared" si="2"/>
        <v>0</v>
      </c>
      <c r="T34" s="341">
        <f t="shared" si="3"/>
        <v>4</v>
      </c>
      <c r="U34" s="339">
        <f t="shared" si="7"/>
        <v>4</v>
      </c>
      <c r="V34" s="540"/>
      <c r="W34" s="540"/>
      <c r="X34" s="349"/>
      <c r="Y34" s="349"/>
      <c r="Z34" s="547">
        <f t="shared" si="11"/>
        <v>0</v>
      </c>
      <c r="AA34" s="330">
        <f t="shared" si="4"/>
        <v>4</v>
      </c>
      <c r="AB34" s="543"/>
      <c r="AC34" s="543"/>
      <c r="AD34" s="352"/>
      <c r="AE34" s="330"/>
      <c r="AF34" s="330"/>
      <c r="AG34" s="557"/>
      <c r="AH34" s="557"/>
      <c r="AI34" s="557"/>
      <c r="AJ34" s="212"/>
    </row>
    <row r="35" spans="1:36" x14ac:dyDescent="0.25">
      <c r="A35" s="220"/>
      <c r="B35" s="128">
        <f>IF(D35&lt;&gt;0,MAX($B$5:B34)+1,"")</f>
        <v>25</v>
      </c>
      <c r="C35" s="163">
        <f>IF(D35=0,0,MAX($C$32:C34)+1)</f>
        <v>4</v>
      </c>
      <c r="D35" s="162" t="str">
        <f>IF(NSTonghop!$E37&lt;&gt;0,0,NSTonghop!F37)</f>
        <v>Nguyễn Thị Bạch Cúc</v>
      </c>
      <c r="E35" s="168" t="str">
        <f>IF(NSTonghop!$E37&lt;&gt;0,0,NSTonghop!G37)</f>
        <v>x</v>
      </c>
      <c r="F35" s="162" t="str">
        <f>IF(NSTonghop!$E37&lt;&gt;0,0,NSTonghop!X37)</f>
        <v>Sử</v>
      </c>
      <c r="G35" s="162" t="str">
        <f>IF(NSTonghop!$E37&lt;&gt;0,0,NSTonghop!Y37)</f>
        <v>Sử</v>
      </c>
      <c r="H35" s="162" t="str">
        <f t="shared" si="12"/>
        <v>Sử</v>
      </c>
      <c r="I35" s="304"/>
      <c r="J35" s="304"/>
      <c r="K35" s="554"/>
      <c r="L35" s="337" t="s">
        <v>1069</v>
      </c>
      <c r="M35" s="338">
        <v>4</v>
      </c>
      <c r="N35" s="338">
        <v>4</v>
      </c>
      <c r="O35" s="338">
        <v>4</v>
      </c>
      <c r="P35" s="338">
        <v>4</v>
      </c>
      <c r="Q35" s="342">
        <f t="shared" si="0"/>
        <v>40</v>
      </c>
      <c r="R35" s="342">
        <f t="shared" si="1"/>
        <v>36</v>
      </c>
      <c r="S35" s="342">
        <f t="shared" si="2"/>
        <v>36</v>
      </c>
      <c r="T35" s="342">
        <f t="shared" si="3"/>
        <v>32</v>
      </c>
      <c r="U35" s="340">
        <f t="shared" si="7"/>
        <v>144</v>
      </c>
      <c r="V35" s="541"/>
      <c r="W35" s="541"/>
      <c r="X35" s="350"/>
      <c r="Y35" s="350"/>
      <c r="Z35" s="548">
        <f t="shared" si="11"/>
        <v>0</v>
      </c>
      <c r="AA35" s="331">
        <f t="shared" si="4"/>
        <v>144</v>
      </c>
      <c r="AB35" s="545"/>
      <c r="AC35" s="545"/>
      <c r="AD35" s="353"/>
      <c r="AE35" s="331"/>
      <c r="AF35" s="331"/>
      <c r="AG35" s="558"/>
      <c r="AH35" s="558"/>
      <c r="AI35" s="558"/>
      <c r="AJ35" s="212"/>
    </row>
    <row r="36" spans="1:36" x14ac:dyDescent="0.25">
      <c r="A36" s="220"/>
      <c r="B36" s="128">
        <f>IF(D36&lt;&gt;0,MAX($B$5:B35)+1,"")</f>
        <v>26</v>
      </c>
      <c r="C36" s="163">
        <f>IF(D36=0,0,MAX($C$32:C35)+1)</f>
        <v>5</v>
      </c>
      <c r="D36" s="162" t="str">
        <f>IF(NSTonghop!$E38&lt;&gt;0,0,NSTonghop!F38)</f>
        <v>Nguyễn Thị Kim Cương</v>
      </c>
      <c r="E36" s="168" t="str">
        <f>IF(NSTonghop!$E38&lt;&gt;0,0,NSTonghop!G38)</f>
        <v>x</v>
      </c>
      <c r="F36" s="162" t="str">
        <f>IF(NSTonghop!$E38&lt;&gt;0,0,NSTonghop!X38)</f>
        <v>Sử</v>
      </c>
      <c r="G36" s="162" t="str">
        <f>IF(NSTonghop!$E38&lt;&gt;0,0,NSTonghop!Y38)</f>
        <v>Địa</v>
      </c>
      <c r="H36" s="162" t="str">
        <f t="shared" si="12"/>
        <v>Địa</v>
      </c>
      <c r="I36" s="304" t="s">
        <v>355</v>
      </c>
      <c r="J36" s="304"/>
      <c r="K36" s="555">
        <f>SUM(K13:K35)</f>
        <v>63</v>
      </c>
      <c r="L36" s="345"/>
      <c r="M36" s="346"/>
      <c r="N36" s="346"/>
      <c r="O36" s="346"/>
      <c r="P36" s="346"/>
      <c r="Q36" s="347"/>
      <c r="R36" s="347"/>
      <c r="S36" s="347"/>
      <c r="T36" s="347"/>
      <c r="U36" s="348"/>
      <c r="V36" s="348"/>
      <c r="W36" s="348"/>
      <c r="X36" s="348"/>
      <c r="Y36" s="348"/>
      <c r="Z36" s="348"/>
      <c r="AA36" s="348"/>
      <c r="AB36" s="348"/>
      <c r="AC36" s="348"/>
      <c r="AD36" s="348"/>
      <c r="AE36" s="348"/>
      <c r="AF36" s="348"/>
      <c r="AG36" s="348"/>
      <c r="AH36" s="348"/>
      <c r="AI36" s="348"/>
      <c r="AJ36" s="212"/>
    </row>
    <row r="37" spans="1:36" x14ac:dyDescent="0.25">
      <c r="A37" s="220"/>
      <c r="B37" s="128">
        <f>IF(D37&lt;&gt;0,MAX($B$5:B36)+1,"")</f>
        <v>27</v>
      </c>
      <c r="C37" s="163">
        <f>IF(D37=0,0,MAX($C$32:C36)+1)</f>
        <v>6</v>
      </c>
      <c r="D37" s="162" t="str">
        <f>IF(NSTonghop!$E39&lt;&gt;0,0,NSTonghop!F39)</f>
        <v>Trần Thị Ngọc Giàu</v>
      </c>
      <c r="E37" s="168" t="str">
        <f>IF(NSTonghop!$E39&lt;&gt;0,0,NSTonghop!G39)</f>
        <v>x</v>
      </c>
      <c r="F37" s="162" t="str">
        <f>IF(NSTonghop!$E39&lt;&gt;0,0,NSTonghop!X39)</f>
        <v>Văn-GDCD</v>
      </c>
      <c r="G37" s="162" t="str">
        <f>IF(NSTonghop!$E39&lt;&gt;0,0,NSTonghop!Y39)</f>
        <v>GD</v>
      </c>
      <c r="H37" s="162" t="str">
        <f t="shared" si="12"/>
        <v>GD</v>
      </c>
      <c r="I37" s="304" t="s">
        <v>355</v>
      </c>
      <c r="J37" s="304"/>
      <c r="K37" s="313"/>
      <c r="L37" s="313"/>
      <c r="M37" s="314"/>
      <c r="N37" s="314"/>
      <c r="O37" s="314"/>
      <c r="P37" s="314"/>
      <c r="Q37" s="314"/>
      <c r="R37" s="314"/>
      <c r="S37" s="314"/>
      <c r="T37" s="314"/>
      <c r="U37" s="314"/>
      <c r="V37" s="314"/>
      <c r="W37" s="314"/>
      <c r="X37" s="314"/>
      <c r="Y37" s="314"/>
      <c r="Z37" s="314"/>
      <c r="AA37" s="314"/>
      <c r="AB37" s="314"/>
      <c r="AC37" s="314"/>
      <c r="AD37" s="314"/>
      <c r="AE37" s="314"/>
      <c r="AF37" s="314"/>
      <c r="AG37" s="314"/>
      <c r="AH37" s="314"/>
      <c r="AI37" s="314"/>
      <c r="AJ37" s="212"/>
    </row>
    <row r="38" spans="1:36" x14ac:dyDescent="0.25">
      <c r="A38" s="220"/>
      <c r="B38" s="128">
        <f>IF(D38&lt;&gt;0,MAX($B$5:B37)+1,"")</f>
        <v>28</v>
      </c>
      <c r="C38" s="163">
        <f>IF(D38=0,0,MAX($C$32:C37)+1)</f>
        <v>7</v>
      </c>
      <c r="D38" s="162" t="str">
        <f>IF(NSTonghop!$E40&lt;&gt;0,0,NSTonghop!F40)</f>
        <v>Phạm Thị Thoa</v>
      </c>
      <c r="E38" s="168" t="str">
        <f>IF(NSTonghop!$E40&lt;&gt;0,0,NSTonghop!G40)</f>
        <v>x</v>
      </c>
      <c r="F38" s="162" t="str">
        <f>IF(NSTonghop!$E40&lt;&gt;0,0,NSTonghop!X40)</f>
        <v>Văn</v>
      </c>
      <c r="G38" s="162" t="str">
        <f>IF(NSTonghop!$E40&lt;&gt;0,0,NSTonghop!Y40)</f>
        <v>GD</v>
      </c>
      <c r="H38" s="162" t="str">
        <f t="shared" si="12"/>
        <v>GD</v>
      </c>
      <c r="I38" s="304" t="s">
        <v>355</v>
      </c>
      <c r="J38" s="304"/>
      <c r="K38" s="313"/>
      <c r="L38" s="856" t="s">
        <v>1070</v>
      </c>
      <c r="M38" s="857"/>
      <c r="N38" s="857"/>
      <c r="O38" s="857"/>
      <c r="P38" s="857"/>
      <c r="Q38" s="623" t="s">
        <v>1076</v>
      </c>
      <c r="R38" s="624">
        <f>SUM(R39:R42)</f>
        <v>36</v>
      </c>
      <c r="S38" s="344"/>
      <c r="T38" s="344"/>
      <c r="U38" s="325"/>
      <c r="X38" s="417"/>
      <c r="Y38" s="417"/>
      <c r="AD38" s="417"/>
      <c r="AE38" s="417"/>
      <c r="AF38" s="417"/>
      <c r="AG38" s="417"/>
      <c r="AH38" s="417"/>
      <c r="AI38" s="417"/>
      <c r="AJ38" s="212"/>
    </row>
    <row r="39" spans="1:36" x14ac:dyDescent="0.25">
      <c r="A39" s="220"/>
      <c r="B39" s="128">
        <f>IF(D39&lt;&gt;0,MAX($B$5:B38)+1,"")</f>
        <v>29</v>
      </c>
      <c r="C39" s="163">
        <f>IF(D39=0,0,MAX($C$32:C38)+1)</f>
        <v>8</v>
      </c>
      <c r="D39" s="162" t="str">
        <f>IF(NSTonghop!$E41&lt;&gt;0,0,NSTonghop!F41)</f>
        <v>Lê Thị Tính</v>
      </c>
      <c r="E39" s="168" t="str">
        <f>IF(NSTonghop!$E41&lt;&gt;0,0,NSTonghop!G41)</f>
        <v>x</v>
      </c>
      <c r="F39" s="162" t="str">
        <f>IF(NSTonghop!$E41&lt;&gt;0,0,NSTonghop!X41)</f>
        <v>Sử</v>
      </c>
      <c r="G39" s="162" t="str">
        <f>IF(NSTonghop!$E41&lt;&gt;0,0,NSTonghop!Y41)</f>
        <v>Sử</v>
      </c>
      <c r="H39" s="162" t="str">
        <f t="shared" si="12"/>
        <v>Sử</v>
      </c>
      <c r="I39" s="304" t="s">
        <v>355</v>
      </c>
      <c r="J39" s="304"/>
      <c r="K39" s="313"/>
      <c r="L39" s="856" t="s">
        <v>1071</v>
      </c>
      <c r="M39" s="857"/>
      <c r="N39" s="857"/>
      <c r="O39" s="857"/>
      <c r="P39" s="857"/>
      <c r="Q39" s="324" t="s">
        <v>1046</v>
      </c>
      <c r="R39" s="621">
        <f>KHPTrien!D19</f>
        <v>10</v>
      </c>
      <c r="S39" s="314"/>
      <c r="T39" s="549"/>
      <c r="U39" s="325"/>
      <c r="X39" s="417"/>
      <c r="Y39" s="417"/>
      <c r="AD39" s="417"/>
      <c r="AE39" s="417"/>
      <c r="AF39" s="417"/>
      <c r="AG39" s="417"/>
      <c r="AH39" s="417"/>
      <c r="AI39" s="417"/>
      <c r="AJ39" s="212"/>
    </row>
    <row r="40" spans="1:36" x14ac:dyDescent="0.25">
      <c r="A40" s="220"/>
      <c r="B40" s="128">
        <f>IF(D40&lt;&gt;0,MAX($B$5:B39)+1,"")</f>
        <v>30</v>
      </c>
      <c r="C40" s="163">
        <f>IF(D40=0,0,MAX($C$32:C39)+1)</f>
        <v>9</v>
      </c>
      <c r="D40" s="162" t="str">
        <f>IF(NSTonghop!$E42&lt;&gt;0,0,NSTonghop!F42)</f>
        <v>Võ Thị Kim Thùy</v>
      </c>
      <c r="E40" s="168" t="str">
        <f>IF(NSTonghop!$E42&lt;&gt;0,0,NSTonghop!G42)</f>
        <v>x</v>
      </c>
      <c r="F40" s="162" t="str">
        <f>IF(NSTonghop!$E42&lt;&gt;0,0,NSTonghop!X42)</f>
        <v>Địa</v>
      </c>
      <c r="G40" s="162" t="str">
        <f>IF(NSTonghop!$E42&lt;&gt;0,0,NSTonghop!Y42)</f>
        <v>Địa</v>
      </c>
      <c r="H40" s="162" t="str">
        <f t="shared" si="12"/>
        <v>Địa</v>
      </c>
      <c r="I40" s="304" t="s">
        <v>355</v>
      </c>
      <c r="J40" s="304"/>
      <c r="K40" s="313"/>
      <c r="L40" s="856" t="s">
        <v>1072</v>
      </c>
      <c r="M40" s="857"/>
      <c r="N40" s="857"/>
      <c r="O40" s="857"/>
      <c r="P40" s="857"/>
      <c r="Q40" s="324" t="s">
        <v>1047</v>
      </c>
      <c r="R40" s="621">
        <f>KHPTrien!E19</f>
        <v>9</v>
      </c>
      <c r="S40" s="314"/>
      <c r="T40" s="549"/>
      <c r="U40" s="325"/>
      <c r="X40" s="417"/>
      <c r="Y40" s="417"/>
      <c r="AD40" s="417"/>
      <c r="AE40" s="417"/>
      <c r="AF40" s="417"/>
      <c r="AG40" s="417"/>
      <c r="AH40" s="417"/>
      <c r="AI40" s="417"/>
      <c r="AJ40" s="212"/>
    </row>
    <row r="41" spans="1:36" s="118" customFormat="1" x14ac:dyDescent="0.25">
      <c r="A41" s="220"/>
      <c r="B41" s="128">
        <f>IF(D41&lt;&gt;0,MAX($B$5:B40)+1,"")</f>
        <v>31</v>
      </c>
      <c r="C41" s="132">
        <f>IF(D41=0,0,1)</f>
        <v>1</v>
      </c>
      <c r="D41" s="128" t="str">
        <f>IF(NSTonghop!$E43&lt;&gt;0,0,NSTonghop!F43)</f>
        <v>Châu Thị Huỳnh Mai</v>
      </c>
      <c r="E41" s="136" t="str">
        <f>IF(NSTonghop!$E43&lt;&gt;0,0,NSTonghop!G43)</f>
        <v>x</v>
      </c>
      <c r="F41" s="128" t="str">
        <f>IF(NSTonghop!$E43&lt;&gt;0,0,NSTonghop!X43)</f>
        <v>T.Anh</v>
      </c>
      <c r="G41" s="128" t="str">
        <f>IF(NSTonghop!$E43&lt;&gt;0,0,NSTonghop!Y43)</f>
        <v>T.Anh</v>
      </c>
      <c r="H41" s="162" t="str">
        <f t="shared" si="12"/>
        <v>T.Anh</v>
      </c>
      <c r="I41" s="305"/>
      <c r="J41" s="305"/>
      <c r="K41" s="315"/>
      <c r="L41" s="856" t="s">
        <v>1073</v>
      </c>
      <c r="M41" s="857"/>
      <c r="N41" s="857"/>
      <c r="O41" s="857"/>
      <c r="P41" s="857"/>
      <c r="Q41" s="324" t="s">
        <v>1048</v>
      </c>
      <c r="R41" s="621">
        <f>KHPTrien!F19</f>
        <v>9</v>
      </c>
      <c r="S41" s="314"/>
      <c r="T41" s="550"/>
      <c r="U41" s="325"/>
      <c r="X41" s="417"/>
      <c r="Y41" s="417"/>
      <c r="AD41" s="417"/>
      <c r="AE41" s="417"/>
      <c r="AF41" s="417"/>
      <c r="AG41" s="417"/>
      <c r="AH41" s="417"/>
      <c r="AI41" s="417"/>
      <c r="AJ41" s="212"/>
    </row>
    <row r="42" spans="1:36" s="118" customFormat="1" x14ac:dyDescent="0.25">
      <c r="A42" s="220"/>
      <c r="B42" s="128">
        <f>IF(D42&lt;&gt;0,MAX($B$5:B41)+1,"")</f>
        <v>32</v>
      </c>
      <c r="C42" s="132">
        <f>IF(D42=0,0,MAX($C$41:C41)+1)</f>
        <v>2</v>
      </c>
      <c r="D42" s="128" t="str">
        <f>IF(NSTonghop!$E44&lt;&gt;0,0,NSTonghop!F44)</f>
        <v>Huỳnh Thị Lang Chi</v>
      </c>
      <c r="E42" s="136" t="str">
        <f>IF(NSTonghop!$E44&lt;&gt;0,0,NSTonghop!G44)</f>
        <v>x</v>
      </c>
      <c r="F42" s="128" t="str">
        <f>IF(NSTonghop!$E44&lt;&gt;0,0,NSTonghop!X44)</f>
        <v>T.Anh</v>
      </c>
      <c r="G42" s="128" t="str">
        <f>IF(NSTonghop!$E44&lt;&gt;0,0,NSTonghop!Y44)</f>
        <v>T.Anh</v>
      </c>
      <c r="H42" s="162" t="str">
        <f t="shared" si="12"/>
        <v>T.Anh</v>
      </c>
      <c r="I42" s="305"/>
      <c r="J42" s="305"/>
      <c r="K42" s="315"/>
      <c r="L42" s="858" t="s">
        <v>1074</v>
      </c>
      <c r="M42" s="859"/>
      <c r="N42" s="859"/>
      <c r="O42" s="859"/>
      <c r="P42" s="859"/>
      <c r="Q42" s="324" t="s">
        <v>1049</v>
      </c>
      <c r="R42" s="621">
        <f>KHPTrien!G19</f>
        <v>8</v>
      </c>
      <c r="S42" s="314"/>
      <c r="T42" s="550"/>
      <c r="U42" s="326"/>
      <c r="X42" s="418"/>
      <c r="Y42" s="418"/>
      <c r="AD42" s="418"/>
      <c r="AE42" s="418"/>
      <c r="AF42" s="418"/>
      <c r="AG42" s="418"/>
      <c r="AH42" s="418"/>
      <c r="AI42" s="418"/>
      <c r="AJ42" s="212"/>
    </row>
    <row r="43" spans="1:36" s="118" customFormat="1" x14ac:dyDescent="0.25">
      <c r="A43" s="220"/>
      <c r="B43" s="128">
        <f>IF(D43&lt;&gt;0,MAX($B$5:B42)+1,"")</f>
        <v>33</v>
      </c>
      <c r="C43" s="132">
        <f>IF(D43=0,0,MAX($C$41:C42)+1)</f>
        <v>3</v>
      </c>
      <c r="D43" s="128" t="str">
        <f>IF(NSTonghop!$E45&lt;&gt;0,0,NSTonghop!F45)</f>
        <v>Đoàn Thị Viên An</v>
      </c>
      <c r="E43" s="136" t="str">
        <f>IF(NSTonghop!$E45&lt;&gt;0,0,NSTonghop!G45)</f>
        <v>x</v>
      </c>
      <c r="F43" s="128" t="str">
        <f>IF(NSTonghop!$E45&lt;&gt;0,0,NSTonghop!X45)</f>
        <v>T.Anh</v>
      </c>
      <c r="G43" s="128" t="str">
        <f>IF(NSTonghop!$E45&lt;&gt;0,0,NSTonghop!Y45)</f>
        <v>T.Anh</v>
      </c>
      <c r="H43" s="162" t="str">
        <f t="shared" si="12"/>
        <v>T.Anh</v>
      </c>
      <c r="I43" s="305" t="s">
        <v>355</v>
      </c>
      <c r="J43" s="305"/>
      <c r="K43" s="315"/>
      <c r="L43" s="858" t="s">
        <v>1079</v>
      </c>
      <c r="M43" s="859"/>
      <c r="N43" s="859"/>
      <c r="O43" s="859"/>
      <c r="P43" s="859"/>
      <c r="Q43" s="622"/>
      <c r="R43" s="316"/>
      <c r="S43" s="314"/>
      <c r="T43" s="550"/>
      <c r="U43" s="326"/>
      <c r="X43" s="418"/>
      <c r="Y43" s="418"/>
      <c r="AD43" s="418"/>
      <c r="AE43" s="418"/>
      <c r="AF43" s="418"/>
      <c r="AG43" s="418"/>
      <c r="AH43" s="418"/>
      <c r="AI43" s="418"/>
      <c r="AJ43" s="212"/>
    </row>
    <row r="44" spans="1:36" s="118" customFormat="1" x14ac:dyDescent="0.25">
      <c r="A44" s="220"/>
      <c r="B44" s="128">
        <f>IF(D44&lt;&gt;0,MAX($B$5:B43)+1,"")</f>
        <v>34</v>
      </c>
      <c r="C44" s="132">
        <f>IF(D44=0,0,MAX($C$41:C43)+1)</f>
        <v>4</v>
      </c>
      <c r="D44" s="128" t="str">
        <f>IF(NSTonghop!$E46&lt;&gt;0,0,NSTonghop!F46)</f>
        <v>Nguyễn Thị Đầm</v>
      </c>
      <c r="E44" s="136" t="str">
        <f>IF(NSTonghop!$E46&lt;&gt;0,0,NSTonghop!G46)</f>
        <v>x</v>
      </c>
      <c r="F44" s="128" t="str">
        <f>IF(NSTonghop!$E46&lt;&gt;0,0,NSTonghop!X46)</f>
        <v>T.Anh</v>
      </c>
      <c r="G44" s="128" t="str">
        <f>IF(NSTonghop!$E46&lt;&gt;0,0,NSTonghop!Y46)</f>
        <v>T.Anh</v>
      </c>
      <c r="H44" s="162" t="str">
        <f t="shared" si="12"/>
        <v>T.Anh</v>
      </c>
      <c r="I44" s="305"/>
      <c r="J44" s="305"/>
      <c r="K44" s="315"/>
      <c r="L44" s="315"/>
      <c r="M44" s="316"/>
      <c r="N44" s="316"/>
      <c r="O44" s="316"/>
      <c r="P44" s="316"/>
      <c r="Q44" s="625" t="s">
        <v>1077</v>
      </c>
      <c r="R44" s="624">
        <f>KHPTrien!C18</f>
        <v>1449</v>
      </c>
      <c r="S44" s="314"/>
      <c r="T44" s="550"/>
      <c r="U44" s="316"/>
      <c r="X44" s="316"/>
      <c r="Y44" s="316"/>
      <c r="AD44" s="316"/>
      <c r="AE44" s="316"/>
      <c r="AF44" s="316"/>
      <c r="AG44" s="316"/>
      <c r="AH44" s="316"/>
      <c r="AI44" s="316"/>
      <c r="AJ44" s="212"/>
    </row>
    <row r="45" spans="1:36" s="118" customFormat="1" x14ac:dyDescent="0.25">
      <c r="A45" s="220"/>
      <c r="B45" s="128">
        <f>IF(D45&lt;&gt;0,MAX($B$5:B44)+1,"")</f>
        <v>35</v>
      </c>
      <c r="C45" s="132">
        <f>IF(D45=0,0,MAX($C$41:C44)+1)</f>
        <v>5</v>
      </c>
      <c r="D45" s="128" t="str">
        <f>IF(NSTonghop!$E47&lt;&gt;0,0,NSTonghop!F47)</f>
        <v>Trần Thị Thanh Tiền</v>
      </c>
      <c r="E45" s="136" t="str">
        <f>IF(NSTonghop!$E47&lt;&gt;0,0,NSTonghop!G47)</f>
        <v>x</v>
      </c>
      <c r="F45" s="128" t="str">
        <f>IF(NSTonghop!$E47&lt;&gt;0,0,NSTonghop!X47)</f>
        <v>T.Anh</v>
      </c>
      <c r="G45" s="128" t="str">
        <f>IF(NSTonghop!$E47&lt;&gt;0,0,NSTonghop!Y47)</f>
        <v>T.Anh</v>
      </c>
      <c r="H45" s="162" t="str">
        <f t="shared" si="12"/>
        <v>T.Anh</v>
      </c>
      <c r="I45" s="305" t="s">
        <v>355</v>
      </c>
      <c r="J45" s="305"/>
      <c r="K45" s="315"/>
      <c r="L45" s="343"/>
      <c r="M45" s="344"/>
      <c r="N45" s="344"/>
      <c r="O45" s="344"/>
      <c r="P45" s="316"/>
      <c r="Q45" s="316"/>
      <c r="R45" s="316"/>
      <c r="S45" s="314"/>
      <c r="T45" s="550"/>
      <c r="U45" s="316"/>
      <c r="X45" s="316"/>
      <c r="Y45" s="316"/>
      <c r="AD45" s="316"/>
      <c r="AE45" s="316"/>
      <c r="AF45" s="316"/>
      <c r="AG45" s="316"/>
      <c r="AH45" s="316"/>
      <c r="AI45" s="316"/>
      <c r="AJ45" s="212"/>
    </row>
    <row r="46" spans="1:36" s="118" customFormat="1" x14ac:dyDescent="0.25">
      <c r="A46" s="220"/>
      <c r="B46" s="128">
        <f>IF(D46&lt;&gt;0,MAX($B$5:B45)+1,"")</f>
        <v>36</v>
      </c>
      <c r="C46" s="132">
        <f>IF(D46=0,0,MAX($C$41:C45)+1)</f>
        <v>6</v>
      </c>
      <c r="D46" s="128" t="str">
        <f>IF(NSTonghop!$E48&lt;&gt;0,0,NSTonghop!F48)</f>
        <v>Hồ Thị Cẩm Thu</v>
      </c>
      <c r="E46" s="136" t="str">
        <f>IF(NSTonghop!$E48&lt;&gt;0,0,NSTonghop!G48)</f>
        <v>x</v>
      </c>
      <c r="F46" s="128" t="str">
        <f>IF(NSTonghop!$E48&lt;&gt;0,0,NSTonghop!X48)</f>
        <v>T.Anh</v>
      </c>
      <c r="G46" s="128" t="str">
        <f>IF(NSTonghop!$E48&lt;&gt;0,0,NSTonghop!Y48)</f>
        <v>T.Anh</v>
      </c>
      <c r="H46" s="162" t="str">
        <f t="shared" si="12"/>
        <v>T.Anh</v>
      </c>
      <c r="I46" s="305"/>
      <c r="J46" s="305"/>
      <c r="K46" s="315"/>
      <c r="L46" s="315"/>
      <c r="M46" s="316"/>
      <c r="N46" s="316"/>
      <c r="O46" s="316"/>
      <c r="P46" s="316"/>
      <c r="Q46" s="625" t="s">
        <v>1080</v>
      </c>
      <c r="R46" s="624">
        <f>COUNTIF(I13:I104,"x")</f>
        <v>36</v>
      </c>
      <c r="S46" s="314"/>
      <c r="T46" s="550"/>
      <c r="U46" s="316"/>
      <c r="X46" s="316"/>
      <c r="Y46" s="316"/>
      <c r="AD46" s="316"/>
      <c r="AE46" s="316"/>
      <c r="AF46" s="316"/>
      <c r="AG46" s="316"/>
      <c r="AH46" s="316"/>
      <c r="AI46" s="316"/>
      <c r="AJ46" s="212"/>
    </row>
    <row r="47" spans="1:36" s="118" customFormat="1" x14ac:dyDescent="0.25">
      <c r="A47" s="220"/>
      <c r="B47" s="128" t="str">
        <f>IF(D47&lt;&gt;0,MAX($B$5:B46)+1,"")</f>
        <v/>
      </c>
      <c r="C47" s="132">
        <f>IF(D47=0,0,MAX($C$41:C46)+1)</f>
        <v>0</v>
      </c>
      <c r="D47" s="142">
        <f>IF(NSTonghop!$E49&lt;&gt;0,0,NSTonghop!F49)</f>
        <v>0</v>
      </c>
      <c r="E47" s="148">
        <f>IF(NSTonghop!$E49&lt;&gt;0,0,NSTonghop!G49)</f>
        <v>0</v>
      </c>
      <c r="F47" s="142">
        <f>IF(NSTonghop!$E49&lt;&gt;0,0,NSTonghop!X49)</f>
        <v>0</v>
      </c>
      <c r="G47" s="142">
        <f>IF(NSTonghop!$E49&lt;&gt;0,0,NSTonghop!Y49)</f>
        <v>0</v>
      </c>
      <c r="H47" s="173">
        <f t="shared" si="12"/>
        <v>0</v>
      </c>
      <c r="I47" s="305"/>
      <c r="J47" s="305"/>
      <c r="K47" s="315"/>
      <c r="L47" s="315"/>
      <c r="M47" s="316"/>
      <c r="N47" s="316"/>
      <c r="O47" s="316"/>
      <c r="P47" s="316"/>
      <c r="Q47" s="551"/>
      <c r="R47" s="551"/>
      <c r="S47" s="551"/>
      <c r="T47" s="551"/>
      <c r="U47" s="316"/>
      <c r="V47" s="316"/>
      <c r="W47" s="316"/>
      <c r="X47" s="316"/>
      <c r="Y47" s="316"/>
      <c r="Z47" s="316"/>
      <c r="AA47" s="316"/>
      <c r="AB47" s="316"/>
      <c r="AC47" s="316"/>
      <c r="AD47" s="316"/>
      <c r="AE47" s="316"/>
      <c r="AF47" s="316"/>
      <c r="AG47" s="316"/>
      <c r="AH47" s="316"/>
      <c r="AI47" s="316"/>
      <c r="AJ47" s="212"/>
    </row>
    <row r="48" spans="1:36" x14ac:dyDescent="0.25">
      <c r="A48" s="220"/>
      <c r="B48" s="128">
        <f>IF(D48&lt;&gt;0,MAX($B$5:B47)+1,"")</f>
        <v>37</v>
      </c>
      <c r="C48" s="152">
        <f>IF(D48=0,0,1)</f>
        <v>1</v>
      </c>
      <c r="D48" s="151" t="str">
        <f>IF(NSTonghop!$E50&lt;&gt;0,0,NSTonghop!F50)</f>
        <v>Lê Thị Bích Ngọc</v>
      </c>
      <c r="E48" s="157" t="str">
        <f>IF(NSTonghop!$E50&lt;&gt;0,0,NSTonghop!G50)</f>
        <v>x</v>
      </c>
      <c r="F48" s="151" t="str">
        <f>IF(NSTonghop!$E50&lt;&gt;0,0,NSTonghop!X50)</f>
        <v>Toán</v>
      </c>
      <c r="G48" s="151" t="str">
        <f>IF(NSTonghop!$E50&lt;&gt;0,0,NSTonghop!Y50)</f>
        <v>Toán</v>
      </c>
      <c r="H48" s="151" t="str">
        <f t="shared" si="12"/>
        <v>Toán</v>
      </c>
      <c r="I48" s="304"/>
      <c r="J48" s="304"/>
      <c r="K48" s="313"/>
      <c r="L48" s="315"/>
      <c r="M48" s="316"/>
      <c r="N48" s="316"/>
      <c r="O48" s="316"/>
      <c r="P48" s="316"/>
      <c r="Q48" s="316"/>
      <c r="R48" s="316"/>
      <c r="S48" s="316"/>
      <c r="T48" s="316"/>
      <c r="U48" s="316"/>
      <c r="V48" s="316"/>
      <c r="W48" s="316"/>
      <c r="X48" s="316"/>
      <c r="Y48" s="316"/>
      <c r="Z48" s="316"/>
      <c r="AA48" s="316"/>
      <c r="AB48" s="316"/>
      <c r="AC48" s="316"/>
      <c r="AD48" s="316"/>
      <c r="AE48" s="316"/>
      <c r="AF48" s="316"/>
      <c r="AG48" s="316"/>
      <c r="AH48" s="316"/>
      <c r="AI48" s="316"/>
      <c r="AJ48" s="212"/>
    </row>
    <row r="49" spans="1:36" x14ac:dyDescent="0.25">
      <c r="A49" s="220"/>
      <c r="B49" s="128">
        <f>IF(D49&lt;&gt;0,MAX($B$5:B48)+1,"")</f>
        <v>38</v>
      </c>
      <c r="C49" s="163">
        <f>IF(D49=0,0,MAX($C$48:C48)+1)</f>
        <v>2</v>
      </c>
      <c r="D49" s="162" t="str">
        <f>IF(NSTonghop!$E51&lt;&gt;0,0,NSTonghop!F51)</f>
        <v>Nguyễn Thị Thùy Linh</v>
      </c>
      <c r="E49" s="168" t="str">
        <f>IF(NSTonghop!$E51&lt;&gt;0,0,NSTonghop!G51)</f>
        <v>x</v>
      </c>
      <c r="F49" s="162" t="str">
        <f>IF(NSTonghop!$E51&lt;&gt;0,0,NSTonghop!X51)</f>
        <v>Toán</v>
      </c>
      <c r="G49" s="162" t="str">
        <f>IF(NSTonghop!$E51&lt;&gt;0,0,NSTonghop!Y51)</f>
        <v>Toán</v>
      </c>
      <c r="H49" s="162" t="str">
        <f t="shared" si="12"/>
        <v>Toán</v>
      </c>
      <c r="I49" s="304" t="s">
        <v>355</v>
      </c>
      <c r="J49" s="304"/>
      <c r="K49" s="314"/>
      <c r="P49" s="316"/>
      <c r="Q49" s="316"/>
      <c r="R49" s="316"/>
      <c r="S49" s="316"/>
      <c r="T49" s="316"/>
      <c r="U49" s="316"/>
      <c r="V49" s="316"/>
      <c r="W49" s="316"/>
      <c r="X49" s="316"/>
      <c r="Y49" s="316"/>
      <c r="Z49" s="316"/>
      <c r="AA49" s="316"/>
      <c r="AB49" s="316"/>
      <c r="AC49" s="316"/>
      <c r="AD49" s="316"/>
      <c r="AE49" s="316"/>
      <c r="AF49" s="316"/>
      <c r="AG49" s="316"/>
      <c r="AH49" s="316"/>
      <c r="AI49" s="316"/>
      <c r="AJ49" s="212"/>
    </row>
    <row r="50" spans="1:36" x14ac:dyDescent="0.25">
      <c r="A50" s="220"/>
      <c r="B50" s="128">
        <f>IF(D50&lt;&gt;0,MAX($B$5:B49)+1,"")</f>
        <v>39</v>
      </c>
      <c r="C50" s="163">
        <f>IF(D50=0,0,MAX($C$48:C49)+1)</f>
        <v>3</v>
      </c>
      <c r="D50" s="162" t="str">
        <f>IF(NSTonghop!$E52&lt;&gt;0,0,NSTonghop!F52)</f>
        <v>Trịnh Xuân Văn</v>
      </c>
      <c r="E50" s="168">
        <f>IF(NSTonghop!$E52&lt;&gt;0,0,NSTonghop!G52)</f>
        <v>0</v>
      </c>
      <c r="F50" s="162" t="str">
        <f>IF(NSTonghop!$E52&lt;&gt;0,0,NSTonghop!X52)</f>
        <v>Toán</v>
      </c>
      <c r="G50" s="162" t="str">
        <f>IF(NSTonghop!$E52&lt;&gt;0,0,NSTonghop!Y52)</f>
        <v>Toán</v>
      </c>
      <c r="H50" s="162" t="str">
        <f t="shared" si="12"/>
        <v>Toán</v>
      </c>
      <c r="I50" s="304" t="s">
        <v>355</v>
      </c>
      <c r="J50" s="304"/>
      <c r="K50" s="314"/>
      <c r="P50" s="316"/>
      <c r="Q50" s="316"/>
      <c r="R50" s="316"/>
      <c r="S50" s="316"/>
      <c r="T50" s="316"/>
      <c r="U50" s="316"/>
      <c r="V50" s="316"/>
      <c r="W50" s="316"/>
      <c r="X50" s="316"/>
      <c r="Y50" s="316"/>
      <c r="Z50" s="316"/>
      <c r="AA50" s="316"/>
      <c r="AB50" s="316"/>
      <c r="AC50" s="316"/>
      <c r="AD50" s="316"/>
      <c r="AE50" s="316"/>
      <c r="AF50" s="316"/>
      <c r="AG50" s="316"/>
      <c r="AH50" s="316"/>
      <c r="AI50" s="316"/>
      <c r="AJ50" s="212"/>
    </row>
    <row r="51" spans="1:36" x14ac:dyDescent="0.25">
      <c r="A51" s="220"/>
      <c r="B51" s="128">
        <f>IF(D51&lt;&gt;0,MAX($B$5:B50)+1,"")</f>
        <v>40</v>
      </c>
      <c r="C51" s="163">
        <f>IF(D51=0,0,MAX($C$48:C50)+1)</f>
        <v>4</v>
      </c>
      <c r="D51" s="162" t="str">
        <f>IF(NSTonghop!$E53&lt;&gt;0,0,NSTonghop!F53)</f>
        <v>Trần Thị Mành</v>
      </c>
      <c r="E51" s="168" t="str">
        <f>IF(NSTonghop!$E53&lt;&gt;0,0,NSTonghop!G53)</f>
        <v>x</v>
      </c>
      <c r="F51" s="162" t="str">
        <f>IF(NSTonghop!$E53&lt;&gt;0,0,NSTonghop!X53)</f>
        <v>Toán</v>
      </c>
      <c r="G51" s="162" t="str">
        <f>IF(NSTonghop!$E53&lt;&gt;0,0,NSTonghop!Y53)</f>
        <v>Toán</v>
      </c>
      <c r="H51" s="162" t="str">
        <f t="shared" si="12"/>
        <v>Toán</v>
      </c>
      <c r="I51" s="304" t="s">
        <v>355</v>
      </c>
      <c r="J51" s="304"/>
      <c r="K51" s="314"/>
      <c r="P51" s="316"/>
      <c r="Q51" s="316"/>
      <c r="R51" s="316"/>
      <c r="S51" s="316"/>
      <c r="T51" s="316"/>
      <c r="U51" s="316"/>
      <c r="V51" s="316"/>
      <c r="W51" s="316"/>
      <c r="X51" s="316"/>
      <c r="Y51" s="316"/>
      <c r="Z51" s="316"/>
      <c r="AA51" s="316"/>
      <c r="AB51" s="316"/>
      <c r="AC51" s="316"/>
      <c r="AD51" s="316"/>
      <c r="AE51" s="316"/>
      <c r="AF51" s="316"/>
      <c r="AG51" s="316"/>
      <c r="AH51" s="316"/>
      <c r="AI51" s="316"/>
      <c r="AJ51" s="212"/>
    </row>
    <row r="52" spans="1:36" x14ac:dyDescent="0.25">
      <c r="A52" s="220"/>
      <c r="B52" s="128">
        <f>IF(D52&lt;&gt;0,MAX($B$5:B51)+1,"")</f>
        <v>41</v>
      </c>
      <c r="C52" s="163">
        <f>IF(D52=0,0,MAX($C$48:C51)+1)</f>
        <v>5</v>
      </c>
      <c r="D52" s="162" t="str">
        <f>IF(NSTonghop!$E54&lt;&gt;0,0,NSTonghop!F54)</f>
        <v>Cao Thị Uyên Thanh</v>
      </c>
      <c r="E52" s="168" t="str">
        <f>IF(NSTonghop!$E54&lt;&gt;0,0,NSTonghop!G54)</f>
        <v>x</v>
      </c>
      <c r="F52" s="162" t="str">
        <f>IF(NSTonghop!$E54&lt;&gt;0,0,NSTonghop!X54)</f>
        <v>Toán</v>
      </c>
      <c r="G52" s="162" t="str">
        <f>IF(NSTonghop!$E54&lt;&gt;0,0,NSTonghop!Y54)</f>
        <v>Toán</v>
      </c>
      <c r="H52" s="162" t="str">
        <f t="shared" si="12"/>
        <v>Toán</v>
      </c>
      <c r="I52" s="304" t="s">
        <v>355</v>
      </c>
      <c r="J52" s="304"/>
      <c r="K52" s="314"/>
      <c r="P52" s="316"/>
      <c r="Q52" s="316"/>
      <c r="R52" s="316"/>
      <c r="S52" s="316"/>
      <c r="T52" s="316"/>
      <c r="U52" s="316"/>
      <c r="V52" s="316"/>
      <c r="W52" s="316"/>
      <c r="X52" s="316"/>
      <c r="Y52" s="316"/>
      <c r="Z52" s="316"/>
      <c r="AA52" s="316"/>
      <c r="AB52" s="316"/>
      <c r="AC52" s="316"/>
      <c r="AD52" s="316"/>
      <c r="AE52" s="316"/>
      <c r="AF52" s="316"/>
      <c r="AG52" s="316"/>
      <c r="AH52" s="316"/>
      <c r="AI52" s="316"/>
      <c r="AJ52" s="212"/>
    </row>
    <row r="53" spans="1:36" x14ac:dyDescent="0.25">
      <c r="A53" s="220"/>
      <c r="B53" s="128">
        <f>IF(D53&lt;&gt;0,MAX($B$5:B52)+1,"")</f>
        <v>42</v>
      </c>
      <c r="C53" s="163">
        <f>IF(D53=0,0,MAX($C$48:C52)+1)</f>
        <v>6</v>
      </c>
      <c r="D53" s="162" t="str">
        <f>IF(NSTonghop!$E55&lt;&gt;0,0,NSTonghop!F55)</f>
        <v>Lê Thị Hương Trang</v>
      </c>
      <c r="E53" s="168" t="str">
        <f>IF(NSTonghop!$E55&lt;&gt;0,0,NSTonghop!G55)</f>
        <v>x</v>
      </c>
      <c r="F53" s="162" t="str">
        <f>IF(NSTonghop!$E55&lt;&gt;0,0,NSTonghop!X55)</f>
        <v>Toán</v>
      </c>
      <c r="G53" s="162" t="str">
        <f>IF(NSTonghop!$E55&lt;&gt;0,0,NSTonghop!Y55)</f>
        <v>Toán</v>
      </c>
      <c r="H53" s="162" t="str">
        <f t="shared" si="12"/>
        <v>Toán</v>
      </c>
      <c r="I53" s="304" t="s">
        <v>355</v>
      </c>
      <c r="J53" s="304"/>
      <c r="K53" s="314"/>
      <c r="P53" s="316"/>
      <c r="Q53" s="316"/>
      <c r="R53" s="316"/>
      <c r="S53" s="316"/>
      <c r="T53" s="316"/>
      <c r="U53" s="316"/>
      <c r="V53" s="316"/>
      <c r="W53" s="316"/>
      <c r="X53" s="316"/>
      <c r="Y53" s="316"/>
      <c r="Z53" s="316"/>
      <c r="AA53" s="316"/>
      <c r="AB53" s="316"/>
      <c r="AC53" s="316"/>
      <c r="AD53" s="316"/>
      <c r="AE53" s="316"/>
      <c r="AF53" s="316"/>
      <c r="AG53" s="316"/>
      <c r="AH53" s="316"/>
      <c r="AI53" s="316"/>
      <c r="AJ53" s="212"/>
    </row>
    <row r="54" spans="1:36" x14ac:dyDescent="0.25">
      <c r="A54" s="220"/>
      <c r="B54" s="128">
        <f>IF(D54&lt;&gt;0,MAX($B$5:B53)+1,"")</f>
        <v>43</v>
      </c>
      <c r="C54" s="163">
        <f>IF(D54=0,0,MAX($C$48:C53)+1)</f>
        <v>7</v>
      </c>
      <c r="D54" s="162" t="str">
        <f>IF(NSTonghop!$E56&lt;&gt;0,0,NSTonghop!F56)</f>
        <v>Trần Thiện Ý</v>
      </c>
      <c r="E54" s="168">
        <f>IF(NSTonghop!$E56&lt;&gt;0,0,NSTonghop!G56)</f>
        <v>0</v>
      </c>
      <c r="F54" s="162" t="str">
        <f>IF(NSTonghop!$E56&lt;&gt;0,0,NSTonghop!X56)</f>
        <v>Toán</v>
      </c>
      <c r="G54" s="162" t="str">
        <f>IF(NSTonghop!$E56&lt;&gt;0,0,NSTonghop!Y56)</f>
        <v>Toán</v>
      </c>
      <c r="H54" s="162" t="str">
        <f t="shared" si="12"/>
        <v>Toán</v>
      </c>
      <c r="I54" s="304"/>
      <c r="J54" s="304"/>
      <c r="K54" s="314"/>
      <c r="P54" s="316"/>
      <c r="Q54" s="316"/>
      <c r="R54" s="316"/>
      <c r="S54" s="316"/>
      <c r="T54" s="316"/>
      <c r="U54" s="316"/>
      <c r="V54" s="316"/>
      <c r="W54" s="316"/>
      <c r="X54" s="316"/>
      <c r="Y54" s="316"/>
      <c r="Z54" s="316"/>
      <c r="AA54" s="316"/>
      <c r="AB54" s="316"/>
      <c r="AC54" s="316"/>
      <c r="AD54" s="316"/>
      <c r="AE54" s="316"/>
      <c r="AF54" s="316"/>
      <c r="AG54" s="316"/>
      <c r="AH54" s="316"/>
      <c r="AI54" s="316"/>
      <c r="AJ54" s="212"/>
    </row>
    <row r="55" spans="1:36" x14ac:dyDescent="0.25">
      <c r="A55" s="220"/>
      <c r="B55" s="128">
        <f>IF(D55&lt;&gt;0,MAX($B$5:B54)+1,"")</f>
        <v>44</v>
      </c>
      <c r="C55" s="163">
        <f>IF(D55=0,0,MAX($C$48:C54)+1)</f>
        <v>8</v>
      </c>
      <c r="D55" s="162" t="str">
        <f>IF(NSTonghop!$E57&lt;&gt;0,0,NSTonghop!F57)</f>
        <v>Đoàn Tô Ngọc Hương</v>
      </c>
      <c r="E55" s="168" t="str">
        <f>IF(NSTonghop!$E57&lt;&gt;0,0,NSTonghop!G57)</f>
        <v>x</v>
      </c>
      <c r="F55" s="162" t="str">
        <f>IF(NSTonghop!$E57&lt;&gt;0,0,NSTonghop!X57)</f>
        <v>Toán</v>
      </c>
      <c r="G55" s="162" t="str">
        <f>IF(NSTonghop!$E57&lt;&gt;0,0,NSTonghop!Y57)</f>
        <v>Toán</v>
      </c>
      <c r="H55" s="162" t="str">
        <f t="shared" si="12"/>
        <v>Toán</v>
      </c>
      <c r="I55" s="304" t="s">
        <v>355</v>
      </c>
      <c r="J55" s="304"/>
      <c r="K55" s="314"/>
      <c r="P55" s="316"/>
      <c r="Q55" s="316"/>
      <c r="R55" s="316"/>
      <c r="S55" s="316"/>
      <c r="T55" s="316"/>
      <c r="U55" s="316"/>
      <c r="V55" s="316"/>
      <c r="W55" s="316"/>
      <c r="X55" s="316"/>
      <c r="Y55" s="316"/>
      <c r="Z55" s="316"/>
      <c r="AA55" s="316"/>
      <c r="AB55" s="316"/>
      <c r="AC55" s="316"/>
      <c r="AD55" s="316"/>
      <c r="AE55" s="316"/>
      <c r="AF55" s="316"/>
      <c r="AG55" s="316"/>
      <c r="AH55" s="316"/>
      <c r="AI55" s="316"/>
      <c r="AJ55" s="212"/>
    </row>
    <row r="56" spans="1:36" x14ac:dyDescent="0.25">
      <c r="A56" s="220"/>
      <c r="B56" s="128">
        <f>IF(D56&lt;&gt;0,MAX($B$5:B55)+1,"")</f>
        <v>45</v>
      </c>
      <c r="C56" s="163">
        <f>IF(D56=0,0,MAX($C$48:C55)+1)</f>
        <v>9</v>
      </c>
      <c r="D56" s="162" t="str">
        <f>IF(NSTonghop!$E58&lt;&gt;0,0,NSTonghop!F58)</f>
        <v>Huỳnh Thị Bích Vân</v>
      </c>
      <c r="E56" s="168" t="str">
        <f>IF(NSTonghop!$E58&lt;&gt;0,0,NSTonghop!G58)</f>
        <v>x</v>
      </c>
      <c r="F56" s="162" t="str">
        <f>IF(NSTonghop!$E58&lt;&gt;0,0,NSTonghop!X58)</f>
        <v>Toán</v>
      </c>
      <c r="G56" s="162" t="str">
        <f>IF(NSTonghop!$E58&lt;&gt;0,0,NSTonghop!Y58)</f>
        <v>Toán</v>
      </c>
      <c r="H56" s="162" t="str">
        <f t="shared" si="12"/>
        <v>Toán</v>
      </c>
      <c r="I56" s="304"/>
      <c r="J56" s="304"/>
      <c r="K56" s="314"/>
      <c r="P56" s="316"/>
      <c r="Q56" s="316"/>
      <c r="R56" s="316"/>
      <c r="S56" s="316"/>
      <c r="T56" s="316"/>
      <c r="U56" s="316"/>
      <c r="V56" s="316"/>
      <c r="W56" s="316"/>
      <c r="X56" s="316"/>
      <c r="Y56" s="316"/>
      <c r="Z56" s="316"/>
      <c r="AA56" s="316"/>
      <c r="AB56" s="316"/>
      <c r="AC56" s="316"/>
      <c r="AD56" s="316"/>
      <c r="AE56" s="316"/>
      <c r="AF56" s="316"/>
      <c r="AG56" s="316"/>
      <c r="AH56" s="316"/>
      <c r="AI56" s="316"/>
      <c r="AJ56" s="212"/>
    </row>
    <row r="57" spans="1:36" x14ac:dyDescent="0.25">
      <c r="A57" s="220"/>
      <c r="B57" s="128">
        <f>IF(D57&lt;&gt;0,MAX($B$5:B56)+1,"")</f>
        <v>46</v>
      </c>
      <c r="C57" s="163">
        <f>IF(D57=0,0,MAX($C$48:C56)+1)</f>
        <v>10</v>
      </c>
      <c r="D57" s="162" t="str">
        <f>IF(NSTonghop!$E59&lt;&gt;0,0,NSTonghop!F59)</f>
        <v>Phạm Minh Hiếu</v>
      </c>
      <c r="E57" s="168">
        <f>IF(NSTonghop!$E59&lt;&gt;0,0,NSTonghop!G59)</f>
        <v>0</v>
      </c>
      <c r="F57" s="162" t="str">
        <f>IF(NSTonghop!$E59&lt;&gt;0,0,NSTonghop!X59)</f>
        <v>Toán</v>
      </c>
      <c r="G57" s="162" t="str">
        <f>IF(NSTonghop!$E59&lt;&gt;0,0,NSTonghop!Y59)</f>
        <v>Toán</v>
      </c>
      <c r="H57" s="162" t="str">
        <f t="shared" si="12"/>
        <v>Toán</v>
      </c>
      <c r="I57" s="304" t="s">
        <v>355</v>
      </c>
      <c r="J57" s="304"/>
      <c r="K57" s="314"/>
      <c r="P57" s="316"/>
      <c r="Q57" s="316"/>
      <c r="R57" s="316"/>
      <c r="S57" s="316"/>
      <c r="T57" s="316"/>
      <c r="U57" s="316"/>
      <c r="V57" s="316"/>
      <c r="W57" s="316"/>
      <c r="X57" s="316"/>
      <c r="Y57" s="316"/>
      <c r="Z57" s="316"/>
      <c r="AA57" s="316"/>
      <c r="AB57" s="316"/>
      <c r="AC57" s="316"/>
      <c r="AD57" s="316"/>
      <c r="AE57" s="316"/>
      <c r="AF57" s="316"/>
      <c r="AG57" s="316"/>
      <c r="AH57" s="316"/>
      <c r="AI57" s="316"/>
      <c r="AJ57" s="212"/>
    </row>
    <row r="58" spans="1:36" x14ac:dyDescent="0.25">
      <c r="A58" s="220"/>
      <c r="B58" s="128" t="str">
        <f>IF(D58&lt;&gt;0,MAX($B$5:B57)+1,"")</f>
        <v/>
      </c>
      <c r="C58" s="163">
        <f>IF(D58=0,0,MAX($C$48:C57)+1)</f>
        <v>0</v>
      </c>
      <c r="D58" s="162">
        <f>IF(NSTonghop!$E60&lt;&gt;0,0,NSTonghop!F60)</f>
        <v>0</v>
      </c>
      <c r="E58" s="168">
        <f>IF(NSTonghop!$E60&lt;&gt;0,0,NSTonghop!G60)</f>
        <v>0</v>
      </c>
      <c r="F58" s="162">
        <f>IF(NSTonghop!$E60&lt;&gt;0,0,NSTonghop!X60)</f>
        <v>0</v>
      </c>
      <c r="G58" s="162">
        <f>IF(NSTonghop!$E60&lt;&gt;0,0,NSTonghop!Y60)</f>
        <v>0</v>
      </c>
      <c r="H58" s="162">
        <f t="shared" si="12"/>
        <v>0</v>
      </c>
      <c r="I58" s="304"/>
      <c r="J58" s="304"/>
      <c r="K58" s="314"/>
      <c r="P58" s="316"/>
      <c r="Q58" s="316"/>
      <c r="R58" s="316"/>
      <c r="S58" s="316"/>
      <c r="T58" s="316"/>
      <c r="U58" s="316"/>
      <c r="V58" s="316"/>
      <c r="W58" s="316"/>
      <c r="X58" s="316"/>
      <c r="Y58" s="316"/>
      <c r="Z58" s="316"/>
      <c r="AA58" s="316"/>
      <c r="AB58" s="316"/>
      <c r="AC58" s="316"/>
      <c r="AD58" s="316"/>
      <c r="AE58" s="316"/>
      <c r="AF58" s="316"/>
      <c r="AG58" s="316"/>
      <c r="AH58" s="316"/>
      <c r="AI58" s="316"/>
      <c r="AJ58" s="212"/>
    </row>
    <row r="59" spans="1:36" x14ac:dyDescent="0.25">
      <c r="A59" s="220"/>
      <c r="B59" s="128">
        <f>IF(D59&lt;&gt;0,MAX($B$5:B58)+1,"")</f>
        <v>47</v>
      </c>
      <c r="C59" s="163">
        <f>IF(D59=0,0,MAX($C$48:C58)+1)</f>
        <v>11</v>
      </c>
      <c r="D59" s="162" t="str">
        <f>IF(NSTonghop!$E61&lt;&gt;0,0,NSTonghop!F61)</f>
        <v>Nguyễn Thị Hồng Gấm</v>
      </c>
      <c r="E59" s="168" t="str">
        <f>IF(NSTonghop!$E61&lt;&gt;0,0,NSTonghop!G61)</f>
        <v>x</v>
      </c>
      <c r="F59" s="162" t="str">
        <f>IF(NSTonghop!$E61&lt;&gt;0,0,NSTonghop!X61)</f>
        <v>Tin</v>
      </c>
      <c r="G59" s="162" t="str">
        <f>IF(NSTonghop!$E61&lt;&gt;0,0,NSTonghop!Y61)</f>
        <v>Tin</v>
      </c>
      <c r="H59" s="162" t="str">
        <f t="shared" si="12"/>
        <v>Tin</v>
      </c>
      <c r="I59" s="304" t="s">
        <v>355</v>
      </c>
      <c r="J59" s="304"/>
      <c r="K59" s="313"/>
      <c r="L59" s="313"/>
      <c r="M59" s="316"/>
      <c r="N59" s="314"/>
      <c r="O59" s="314"/>
      <c r="P59" s="316"/>
      <c r="Q59" s="316"/>
      <c r="R59" s="316"/>
      <c r="S59" s="316"/>
      <c r="T59" s="316"/>
      <c r="U59" s="316"/>
      <c r="V59" s="316"/>
      <c r="W59" s="316"/>
      <c r="X59" s="316"/>
      <c r="Y59" s="316"/>
      <c r="Z59" s="316"/>
      <c r="AA59" s="316"/>
      <c r="AB59" s="316"/>
      <c r="AC59" s="316"/>
      <c r="AD59" s="316"/>
      <c r="AE59" s="316"/>
      <c r="AF59" s="316"/>
      <c r="AG59" s="316"/>
      <c r="AH59" s="316"/>
      <c r="AI59" s="316"/>
      <c r="AJ59" s="212"/>
    </row>
    <row r="60" spans="1:36" x14ac:dyDescent="0.25">
      <c r="A60" s="220"/>
      <c r="B60" s="128">
        <f>IF(D60&lt;&gt;0,MAX($B$5:B59)+1,"")</f>
        <v>48</v>
      </c>
      <c r="C60" s="163">
        <f>IF(D60=0,0,MAX($C$48:C59)+1)</f>
        <v>12</v>
      </c>
      <c r="D60" s="162" t="str">
        <f>IF(NSTonghop!$E62&lt;&gt;0,0,NSTonghop!F62)</f>
        <v>Trần Thị Ngọc Hiền</v>
      </c>
      <c r="E60" s="168" t="str">
        <f>IF(NSTonghop!$E62&lt;&gt;0,0,NSTonghop!G62)</f>
        <v>x</v>
      </c>
      <c r="F60" s="162" t="str">
        <f>IF(NSTonghop!$E62&lt;&gt;0,0,NSTonghop!X62)</f>
        <v>Tin</v>
      </c>
      <c r="G60" s="162" t="str">
        <f>IF(NSTonghop!$E62&lt;&gt;0,0,NSTonghop!Y62)</f>
        <v>Tin</v>
      </c>
      <c r="H60" s="162" t="str">
        <f t="shared" si="12"/>
        <v>Tin</v>
      </c>
      <c r="I60" s="304" t="s">
        <v>355</v>
      </c>
      <c r="J60" s="304"/>
      <c r="K60" s="313"/>
      <c r="L60" s="313"/>
      <c r="M60" s="316"/>
      <c r="N60" s="314"/>
      <c r="O60" s="314"/>
      <c r="P60" s="316"/>
      <c r="Q60" s="316"/>
      <c r="R60" s="316"/>
      <c r="S60" s="316"/>
      <c r="T60" s="316"/>
      <c r="U60" s="316"/>
      <c r="V60" s="316"/>
      <c r="W60" s="316"/>
      <c r="X60" s="316"/>
      <c r="Y60" s="316"/>
      <c r="Z60" s="316"/>
      <c r="AA60" s="316"/>
      <c r="AB60" s="316"/>
      <c r="AC60" s="316"/>
      <c r="AD60" s="316"/>
      <c r="AE60" s="316"/>
      <c r="AF60" s="316"/>
      <c r="AG60" s="316"/>
      <c r="AH60" s="316"/>
      <c r="AI60" s="316"/>
      <c r="AJ60" s="212"/>
    </row>
    <row r="61" spans="1:36" x14ac:dyDescent="0.25">
      <c r="A61" s="220"/>
      <c r="B61" s="128" t="str">
        <f>IF(D61&lt;&gt;0,MAX($B$5:B60)+1,"")</f>
        <v/>
      </c>
      <c r="C61" s="163">
        <f>IF(D61=0,0,MAX($C$48:C60)+1)</f>
        <v>0</v>
      </c>
      <c r="D61" s="162">
        <f>IF(NSTonghop!$E63&lt;&gt;0,0,NSTonghop!F63)</f>
        <v>0</v>
      </c>
      <c r="E61" s="168">
        <f>IF(NSTonghop!$E63&lt;&gt;0,0,NSTonghop!G63)</f>
        <v>0</v>
      </c>
      <c r="F61" s="162">
        <f>IF(NSTonghop!$E63&lt;&gt;0,0,NSTonghop!X63)</f>
        <v>0</v>
      </c>
      <c r="G61" s="162">
        <f>IF(NSTonghop!$E63&lt;&gt;0,0,NSTonghop!Y63)</f>
        <v>0</v>
      </c>
      <c r="H61" s="162">
        <f t="shared" si="12"/>
        <v>0</v>
      </c>
      <c r="I61" s="304"/>
      <c r="J61" s="304"/>
      <c r="K61" s="313"/>
      <c r="L61" s="313"/>
      <c r="M61" s="316"/>
      <c r="N61" s="314"/>
      <c r="O61" s="314"/>
      <c r="P61" s="316"/>
      <c r="Q61" s="316"/>
      <c r="R61" s="316"/>
      <c r="S61" s="316"/>
      <c r="T61" s="316"/>
      <c r="U61" s="316"/>
      <c r="V61" s="316"/>
      <c r="W61" s="316"/>
      <c r="X61" s="316"/>
      <c r="Y61" s="316"/>
      <c r="Z61" s="316"/>
      <c r="AA61" s="316"/>
      <c r="AB61" s="316"/>
      <c r="AC61" s="316"/>
      <c r="AD61" s="316"/>
      <c r="AE61" s="316"/>
      <c r="AF61" s="316"/>
      <c r="AG61" s="316"/>
      <c r="AH61" s="316"/>
      <c r="AI61" s="316"/>
      <c r="AJ61" s="212"/>
    </row>
    <row r="62" spans="1:36" x14ac:dyDescent="0.25">
      <c r="A62" s="220"/>
      <c r="B62" s="128">
        <f>IF(D62&lt;&gt;0,MAX($B$5:B61)+1,"")</f>
        <v>49</v>
      </c>
      <c r="C62" s="163">
        <f>IF(D62=0,0,MAX($C$48:C61)+1)</f>
        <v>13</v>
      </c>
      <c r="D62" s="162" t="str">
        <f>IF(NSTonghop!$E64&lt;&gt;0,0,NSTonghop!F64)</f>
        <v>Lê Văn Thân</v>
      </c>
      <c r="E62" s="168">
        <f>IF(NSTonghop!$E64&lt;&gt;0,0,NSTonghop!G64)</f>
        <v>0</v>
      </c>
      <c r="F62" s="162" t="str">
        <f>IF(NSTonghop!$E64&lt;&gt;0,0,NSTonghop!X64)</f>
        <v>Tin</v>
      </c>
      <c r="G62" s="162" t="str">
        <f>IF(NSTonghop!$E64&lt;&gt;0,0,NSTonghop!Y64)</f>
        <v>Tin</v>
      </c>
      <c r="H62" s="162" t="str">
        <f t="shared" si="12"/>
        <v>Tin</v>
      </c>
      <c r="I62" s="304"/>
      <c r="J62" s="304"/>
      <c r="K62" s="313"/>
      <c r="L62" s="313"/>
      <c r="M62" s="316"/>
      <c r="N62" s="314"/>
      <c r="O62" s="314"/>
      <c r="P62" s="316"/>
      <c r="Q62" s="316"/>
      <c r="R62" s="316"/>
      <c r="S62" s="316"/>
      <c r="T62" s="316"/>
      <c r="U62" s="316"/>
      <c r="V62" s="316"/>
      <c r="W62" s="316"/>
      <c r="X62" s="316"/>
      <c r="Y62" s="316"/>
      <c r="Z62" s="316"/>
      <c r="AA62" s="316"/>
      <c r="AB62" s="316"/>
      <c r="AC62" s="316"/>
      <c r="AD62" s="316"/>
      <c r="AE62" s="316"/>
      <c r="AF62" s="316"/>
      <c r="AG62" s="316"/>
      <c r="AH62" s="316"/>
      <c r="AI62" s="316"/>
      <c r="AJ62" s="212"/>
    </row>
    <row r="63" spans="1:36" x14ac:dyDescent="0.25">
      <c r="A63" s="220"/>
      <c r="B63" s="128" t="str">
        <f>IF(D63&lt;&gt;0,MAX($B$5:B62)+1,"")</f>
        <v/>
      </c>
      <c r="C63" s="163">
        <f>IF(D63=0,0,MAX($C$48:C62)+1)</f>
        <v>0</v>
      </c>
      <c r="D63" s="162">
        <f>IF(NSTonghop!$E65&lt;&gt;0,0,NSTonghop!F65)</f>
        <v>0</v>
      </c>
      <c r="E63" s="168">
        <f>IF(NSTonghop!$E65&lt;&gt;0,0,NSTonghop!G65)</f>
        <v>0</v>
      </c>
      <c r="F63" s="162">
        <f>IF(NSTonghop!$E65&lt;&gt;0,0,NSTonghop!X65)</f>
        <v>0</v>
      </c>
      <c r="G63" s="162">
        <f>IF(NSTonghop!$E65&lt;&gt;0,0,NSTonghop!Y65)</f>
        <v>0</v>
      </c>
      <c r="H63" s="162">
        <f t="shared" si="12"/>
        <v>0</v>
      </c>
      <c r="I63" s="304"/>
      <c r="J63" s="304"/>
      <c r="K63" s="313"/>
      <c r="L63" s="313"/>
      <c r="M63" s="316"/>
      <c r="N63" s="314"/>
      <c r="O63" s="314"/>
      <c r="P63" s="314"/>
      <c r="Q63" s="314"/>
      <c r="R63" s="314"/>
      <c r="S63" s="314"/>
      <c r="T63" s="314"/>
      <c r="U63" s="314"/>
      <c r="V63" s="314"/>
      <c r="W63" s="314"/>
      <c r="X63" s="314"/>
      <c r="Y63" s="314"/>
      <c r="Z63" s="314"/>
      <c r="AA63" s="314"/>
      <c r="AB63" s="314"/>
      <c r="AC63" s="314"/>
      <c r="AD63" s="314"/>
      <c r="AE63" s="314"/>
      <c r="AF63" s="314"/>
      <c r="AG63" s="314"/>
      <c r="AH63" s="314"/>
      <c r="AI63" s="314"/>
      <c r="AJ63" s="212"/>
    </row>
    <row r="64" spans="1:36" x14ac:dyDescent="0.25">
      <c r="A64" s="220"/>
      <c r="B64" s="128" t="str">
        <f>IF(D64&lt;&gt;0,MAX($B$5:B63)+1,"")</f>
        <v/>
      </c>
      <c r="C64" s="163">
        <f>IF(D64=0,0,MAX($C$48:C63)+1)</f>
        <v>0</v>
      </c>
      <c r="D64" s="173">
        <f>IF(NSTonghop!$E66&lt;&gt;0,0,NSTonghop!F66)</f>
        <v>0</v>
      </c>
      <c r="E64" s="179">
        <f>IF(NSTonghop!$E66&lt;&gt;0,0,NSTonghop!G66)</f>
        <v>0</v>
      </c>
      <c r="F64" s="173">
        <f>IF(NSTonghop!$E66&lt;&gt;0,0,NSTonghop!X66)</f>
        <v>0</v>
      </c>
      <c r="G64" s="173">
        <f>IF(NSTonghop!$E66&lt;&gt;0,0,NSTonghop!Y66)</f>
        <v>0</v>
      </c>
      <c r="H64" s="173">
        <f t="shared" si="12"/>
        <v>0</v>
      </c>
      <c r="I64" s="304"/>
      <c r="J64" s="304"/>
      <c r="K64" s="313"/>
      <c r="L64" s="313"/>
      <c r="M64" s="316"/>
      <c r="N64" s="314"/>
      <c r="O64" s="314"/>
      <c r="P64" s="314"/>
      <c r="Q64" s="314"/>
      <c r="R64" s="314"/>
      <c r="S64" s="314"/>
      <c r="T64" s="314"/>
      <c r="U64" s="314"/>
      <c r="V64" s="314"/>
      <c r="W64" s="314"/>
      <c r="X64" s="314"/>
      <c r="Y64" s="314"/>
      <c r="Z64" s="314"/>
      <c r="AA64" s="314"/>
      <c r="AB64" s="314"/>
      <c r="AC64" s="314"/>
      <c r="AD64" s="314"/>
      <c r="AE64" s="314"/>
      <c r="AF64" s="314"/>
      <c r="AG64" s="314"/>
      <c r="AH64" s="314"/>
      <c r="AI64" s="314"/>
      <c r="AJ64" s="212"/>
    </row>
    <row r="65" spans="1:36" s="118" customFormat="1" ht="16.5" customHeight="1" x14ac:dyDescent="0.25">
      <c r="A65" s="220"/>
      <c r="B65" s="128">
        <f>IF(D65&lt;&gt;0,MAX($B$5:B64)+1,"")</f>
        <v>50</v>
      </c>
      <c r="C65" s="182">
        <f>IF(D65=0,0,1)</f>
        <v>1</v>
      </c>
      <c r="D65" s="122" t="str">
        <f>IF(NSTonghop!$E67&lt;&gt;0,0,NSTonghop!F67)</f>
        <v>Châu Trần Tân Quốc</v>
      </c>
      <c r="E65" s="126">
        <f>IF(NSTonghop!$E67&lt;&gt;0,0,NSTonghop!G67)</f>
        <v>0</v>
      </c>
      <c r="F65" s="122" t="str">
        <f>IF(NSTonghop!$E67&lt;&gt;0,0,NSTonghop!X67)</f>
        <v>Hóa-Sinh</v>
      </c>
      <c r="G65" s="122" t="str">
        <f>IF(NSTonghop!$E67&lt;&gt;0,0,NSTonghop!Y67)</f>
        <v>Hóa-Sinh</v>
      </c>
      <c r="H65" s="151" t="str">
        <f t="shared" si="12"/>
        <v>Hóa-Sinh</v>
      </c>
      <c r="I65" s="305"/>
      <c r="J65" s="305"/>
      <c r="K65" s="315"/>
      <c r="L65" s="313"/>
      <c r="M65" s="316"/>
      <c r="N65" s="314"/>
      <c r="O65" s="314"/>
      <c r="P65" s="314"/>
      <c r="Q65" s="314"/>
      <c r="R65" s="314"/>
      <c r="S65" s="314"/>
      <c r="T65" s="314"/>
      <c r="U65" s="314"/>
      <c r="V65" s="314"/>
      <c r="W65" s="314"/>
      <c r="X65" s="314"/>
      <c r="Y65" s="314"/>
      <c r="Z65" s="314"/>
      <c r="AA65" s="314"/>
      <c r="AB65" s="314"/>
      <c r="AC65" s="314"/>
      <c r="AD65" s="314"/>
      <c r="AE65" s="314"/>
      <c r="AF65" s="314"/>
      <c r="AG65" s="314"/>
      <c r="AH65" s="314"/>
      <c r="AI65" s="314"/>
      <c r="AJ65" s="212"/>
    </row>
    <row r="66" spans="1:36" s="118" customFormat="1" x14ac:dyDescent="0.25">
      <c r="A66" s="220"/>
      <c r="B66" s="128">
        <f>IF(D66&lt;&gt;0,MAX($B$5:B65)+1,"")</f>
        <v>51</v>
      </c>
      <c r="C66" s="132">
        <f>IF(D66=0,0,MAX($C$65:C65)+1)</f>
        <v>2</v>
      </c>
      <c r="D66" s="128" t="str">
        <f>IF(NSTonghop!$E68&lt;&gt;0,0,NSTonghop!F68)</f>
        <v>Nguyễn Thanh Hiệp</v>
      </c>
      <c r="E66" s="136">
        <f>IF(NSTonghop!$E68&lt;&gt;0,0,NSTonghop!G68)</f>
        <v>0</v>
      </c>
      <c r="F66" s="128" t="str">
        <f>IF(NSTonghop!$E68&lt;&gt;0,0,NSTonghop!X68)</f>
        <v>Lý-KTCN</v>
      </c>
      <c r="G66" s="128" t="str">
        <f>IF(NSTonghop!$E68&lt;&gt;0,0,NSTonghop!Y68)</f>
        <v>Lý</v>
      </c>
      <c r="H66" s="162" t="str">
        <f t="shared" si="12"/>
        <v>Lý</v>
      </c>
      <c r="I66" s="305" t="s">
        <v>355</v>
      </c>
      <c r="J66" s="305"/>
      <c r="K66" s="316"/>
      <c r="N66" s="314"/>
      <c r="O66" s="316"/>
      <c r="P66" s="316"/>
      <c r="Q66" s="316"/>
      <c r="R66" s="316"/>
      <c r="S66" s="316"/>
      <c r="T66" s="316"/>
      <c r="U66" s="316"/>
      <c r="V66" s="316"/>
      <c r="W66" s="316"/>
      <c r="X66" s="316"/>
      <c r="Y66" s="316"/>
      <c r="Z66" s="316"/>
      <c r="AA66" s="316"/>
      <c r="AB66" s="316"/>
      <c r="AC66" s="316"/>
      <c r="AD66" s="316"/>
      <c r="AE66" s="316"/>
      <c r="AF66" s="316"/>
      <c r="AG66" s="316"/>
      <c r="AH66" s="316"/>
      <c r="AI66" s="316"/>
      <c r="AJ66" s="212"/>
    </row>
    <row r="67" spans="1:36" s="118" customFormat="1" x14ac:dyDescent="0.25">
      <c r="A67" s="220"/>
      <c r="B67" s="128">
        <f>IF(D67&lt;&gt;0,MAX($B$5:B66)+1,"")</f>
        <v>52</v>
      </c>
      <c r="C67" s="132">
        <f>IF(D67=0,0,MAX($C$65:C66)+1)</f>
        <v>3</v>
      </c>
      <c r="D67" s="128" t="str">
        <f>IF(NSTonghop!$E69&lt;&gt;0,0,NSTonghop!F69)</f>
        <v>Nguyễn Thanh Tùng</v>
      </c>
      <c r="E67" s="136">
        <f>IF(NSTonghop!$E69&lt;&gt;0,0,NSTonghop!G69)</f>
        <v>0</v>
      </c>
      <c r="F67" s="128" t="str">
        <f>IF(NSTonghop!$E69&lt;&gt;0,0,NSTonghop!X69)</f>
        <v>Lý-KTCN</v>
      </c>
      <c r="G67" s="128" t="str">
        <f>IF(NSTonghop!$E69&lt;&gt;0,0,NSTonghop!Y69)</f>
        <v>Lý</v>
      </c>
      <c r="H67" s="162" t="str">
        <f t="shared" si="12"/>
        <v>Lý</v>
      </c>
      <c r="I67" s="305" t="s">
        <v>355</v>
      </c>
      <c r="J67" s="305"/>
      <c r="K67" s="316"/>
      <c r="N67" s="316"/>
      <c r="O67" s="316"/>
      <c r="P67" s="316"/>
      <c r="Q67" s="316"/>
      <c r="R67" s="316"/>
      <c r="S67" s="316"/>
      <c r="T67" s="316"/>
      <c r="U67" s="316"/>
      <c r="V67" s="316"/>
      <c r="W67" s="316"/>
      <c r="X67" s="316"/>
      <c r="Y67" s="316"/>
      <c r="Z67" s="316"/>
      <c r="AA67" s="316"/>
      <c r="AB67" s="316"/>
      <c r="AC67" s="316"/>
      <c r="AD67" s="316"/>
      <c r="AE67" s="316"/>
      <c r="AF67" s="316"/>
      <c r="AG67" s="316"/>
      <c r="AH67" s="316"/>
      <c r="AI67" s="316"/>
      <c r="AJ67" s="212"/>
    </row>
    <row r="68" spans="1:36" s="118" customFormat="1" x14ac:dyDescent="0.25">
      <c r="A68" s="220"/>
      <c r="B68" s="128">
        <f>IF(D68&lt;&gt;0,MAX($B$5:B67)+1,"")</f>
        <v>53</v>
      </c>
      <c r="C68" s="132">
        <f>IF(D68=0,0,MAX($C$65:C67)+1)</f>
        <v>4</v>
      </c>
      <c r="D68" s="128" t="str">
        <f>IF(NSTonghop!$E70&lt;&gt;0,0,NSTonghop!F70)</f>
        <v>Cao Thanh Phong</v>
      </c>
      <c r="E68" s="136">
        <f>IF(NSTonghop!$E70&lt;&gt;0,0,NSTonghop!G70)</f>
        <v>0</v>
      </c>
      <c r="F68" s="128" t="str">
        <f>IF(NSTonghop!$E70&lt;&gt;0,0,NSTonghop!X70)</f>
        <v>CN</v>
      </c>
      <c r="G68" s="128" t="str">
        <f>IF(NSTonghop!$E70&lt;&gt;0,0,NSTonghop!Y70)</f>
        <v>CNCN</v>
      </c>
      <c r="H68" s="162" t="str">
        <f t="shared" si="12"/>
        <v>CNCN</v>
      </c>
      <c r="I68" s="305" t="s">
        <v>355</v>
      </c>
      <c r="J68" s="305"/>
      <c r="K68" s="316"/>
      <c r="N68" s="316"/>
      <c r="O68" s="316"/>
      <c r="P68" s="316"/>
      <c r="Q68" s="316"/>
      <c r="R68" s="316"/>
      <c r="S68" s="316"/>
      <c r="T68" s="316"/>
      <c r="U68" s="316"/>
      <c r="V68" s="316"/>
      <c r="W68" s="316"/>
      <c r="X68" s="316"/>
      <c r="Y68" s="316"/>
      <c r="Z68" s="316"/>
      <c r="AA68" s="316"/>
      <c r="AB68" s="316"/>
      <c r="AC68" s="316"/>
      <c r="AD68" s="316"/>
      <c r="AE68" s="316"/>
      <c r="AF68" s="316"/>
      <c r="AG68" s="316"/>
      <c r="AH68" s="316"/>
      <c r="AI68" s="316"/>
      <c r="AJ68" s="212"/>
    </row>
    <row r="69" spans="1:36" s="118" customFormat="1" x14ac:dyDescent="0.25">
      <c r="A69" s="220"/>
      <c r="B69" s="128">
        <f>IF(D69&lt;&gt;0,MAX($B$5:B68)+1,"")</f>
        <v>54</v>
      </c>
      <c r="C69" s="132">
        <f>IF(D69=0,0,MAX($C$65:C68)+1)</f>
        <v>5</v>
      </c>
      <c r="D69" s="128" t="str">
        <f>IF(NSTonghop!$E71&lt;&gt;0,0,NSTonghop!F71)</f>
        <v>Bùi Thị Huỳnh Hương</v>
      </c>
      <c r="E69" s="136" t="str">
        <f>IF(NSTonghop!$E71&lt;&gt;0,0,NSTonghop!G71)</f>
        <v>x</v>
      </c>
      <c r="F69" s="128" t="str">
        <f>IF(NSTonghop!$E71&lt;&gt;0,0,NSTonghop!X71)</f>
        <v>Lý</v>
      </c>
      <c r="G69" s="128" t="str">
        <f>IF(NSTonghop!$E71&lt;&gt;0,0,NSTonghop!Y71)</f>
        <v>Lý</v>
      </c>
      <c r="H69" s="162" t="str">
        <f t="shared" si="12"/>
        <v>Lý</v>
      </c>
      <c r="I69" s="305" t="s">
        <v>355</v>
      </c>
      <c r="J69" s="305"/>
      <c r="K69" s="316"/>
      <c r="N69" s="316"/>
      <c r="O69" s="316"/>
      <c r="P69" s="316"/>
      <c r="Q69" s="316"/>
      <c r="R69" s="316"/>
      <c r="S69" s="316"/>
      <c r="T69" s="316"/>
      <c r="U69" s="316"/>
      <c r="V69" s="316"/>
      <c r="W69" s="316"/>
      <c r="X69" s="316"/>
      <c r="Y69" s="316"/>
      <c r="Z69" s="316"/>
      <c r="AA69" s="316"/>
      <c r="AB69" s="316"/>
      <c r="AC69" s="316"/>
      <c r="AD69" s="316"/>
      <c r="AE69" s="316"/>
      <c r="AF69" s="316"/>
      <c r="AG69" s="316"/>
      <c r="AH69" s="316"/>
      <c r="AI69" s="316"/>
      <c r="AJ69" s="212"/>
    </row>
    <row r="70" spans="1:36" s="118" customFormat="1" x14ac:dyDescent="0.25">
      <c r="A70" s="220"/>
      <c r="B70" s="128">
        <f>IF(D70&lt;&gt;0,MAX($B$5:B69)+1,"")</f>
        <v>55</v>
      </c>
      <c r="C70" s="132">
        <f>IF(D70=0,0,MAX($C$65:C69)+1)</f>
        <v>6</v>
      </c>
      <c r="D70" s="128" t="str">
        <f>IF(NSTonghop!$E72&lt;&gt;0,0,NSTonghop!F72)</f>
        <v>Lê Thị Kim Thảo</v>
      </c>
      <c r="E70" s="136" t="str">
        <f>IF(NSTonghop!$E72&lt;&gt;0,0,NSTonghop!G72)</f>
        <v>x</v>
      </c>
      <c r="F70" s="128" t="str">
        <f>IF(NSTonghop!$E72&lt;&gt;0,0,NSTonghop!X72)</f>
        <v>Lý</v>
      </c>
      <c r="G70" s="128" t="str">
        <f>IF(NSTonghop!$E72&lt;&gt;0,0,NSTonghop!Y72)</f>
        <v>CNCN</v>
      </c>
      <c r="H70" s="162" t="str">
        <f t="shared" si="12"/>
        <v>CNCN</v>
      </c>
      <c r="I70" s="305" t="s">
        <v>355</v>
      </c>
      <c r="J70" s="305"/>
      <c r="K70" s="316"/>
      <c r="N70" s="316"/>
      <c r="O70" s="316"/>
      <c r="P70" s="316"/>
      <c r="Q70" s="316"/>
      <c r="R70" s="316"/>
      <c r="S70" s="316"/>
      <c r="T70" s="316"/>
      <c r="U70" s="316"/>
      <c r="V70" s="316"/>
      <c r="W70" s="316"/>
      <c r="X70" s="316"/>
      <c r="Y70" s="316"/>
      <c r="Z70" s="316"/>
      <c r="AA70" s="316"/>
      <c r="AB70" s="316"/>
      <c r="AC70" s="316"/>
      <c r="AD70" s="316"/>
      <c r="AE70" s="316"/>
      <c r="AF70" s="316"/>
      <c r="AG70" s="316"/>
      <c r="AH70" s="316"/>
      <c r="AI70" s="316"/>
      <c r="AJ70" s="212"/>
    </row>
    <row r="71" spans="1:36" s="118" customFormat="1" x14ac:dyDescent="0.25">
      <c r="A71" s="220"/>
      <c r="B71" s="128">
        <f>IF(D71&lt;&gt;0,MAX($B$5:B70)+1,"")</f>
        <v>56</v>
      </c>
      <c r="C71" s="132">
        <f>IF(D71=0,0,MAX($C$65:C70)+1)</f>
        <v>7</v>
      </c>
      <c r="D71" s="128" t="str">
        <f>IF(NSTonghop!$E73&lt;&gt;0,0,NSTonghop!F73)</f>
        <v>Lê Nguyên Khiêm</v>
      </c>
      <c r="E71" s="136">
        <f>IF(NSTonghop!$E73&lt;&gt;0,0,NSTonghop!G73)</f>
        <v>0</v>
      </c>
      <c r="F71" s="128" t="str">
        <f>IF(NSTonghop!$E73&lt;&gt;0,0,NSTonghop!X73)</f>
        <v>Hóa-Địa</v>
      </c>
      <c r="G71" s="128" t="str">
        <f>IF(NSTonghop!$E73&lt;&gt;0,0,NSTonghop!Y73)</f>
        <v>Hóa-Địa</v>
      </c>
      <c r="H71" s="162" t="str">
        <f t="shared" si="12"/>
        <v>Hóa-Địa</v>
      </c>
      <c r="I71" s="305" t="s">
        <v>355</v>
      </c>
      <c r="J71" s="305"/>
      <c r="K71" s="316"/>
      <c r="N71" s="316"/>
      <c r="O71" s="316"/>
      <c r="P71" s="316"/>
      <c r="Q71" s="316"/>
      <c r="R71" s="316"/>
      <c r="S71" s="316"/>
      <c r="T71" s="316"/>
      <c r="U71" s="316"/>
      <c r="V71" s="316"/>
      <c r="W71" s="316"/>
      <c r="X71" s="316"/>
      <c r="Y71" s="316"/>
      <c r="Z71" s="316"/>
      <c r="AA71" s="316"/>
      <c r="AB71" s="316"/>
      <c r="AC71" s="316"/>
      <c r="AD71" s="316"/>
      <c r="AE71" s="316"/>
      <c r="AF71" s="316"/>
      <c r="AG71" s="316"/>
      <c r="AH71" s="316"/>
      <c r="AI71" s="316"/>
      <c r="AJ71" s="212"/>
    </row>
    <row r="72" spans="1:36" s="118" customFormat="1" x14ac:dyDescent="0.25">
      <c r="A72" s="220"/>
      <c r="B72" s="128">
        <f>IF(D72&lt;&gt;0,MAX($B$5:B71)+1,"")</f>
        <v>57</v>
      </c>
      <c r="C72" s="132">
        <f>IF(D72=0,0,MAX($C$65:C71)+1)</f>
        <v>8</v>
      </c>
      <c r="D72" s="128" t="str">
        <f>IF(NSTonghop!$E74&lt;&gt;0,0,NSTonghop!F74)</f>
        <v>Trịnh Thị Thanh Trúc</v>
      </c>
      <c r="E72" s="136" t="str">
        <f>IF(NSTonghop!$E74&lt;&gt;0,0,NSTonghop!G74)</f>
        <v>x</v>
      </c>
      <c r="F72" s="128" t="str">
        <f>IF(NSTonghop!$E74&lt;&gt;0,0,NSTonghop!X74)</f>
        <v>Hóa</v>
      </c>
      <c r="G72" s="128" t="str">
        <f>IF(NSTonghop!$E74&lt;&gt;0,0,NSTonghop!Y74)</f>
        <v>Hóa</v>
      </c>
      <c r="H72" s="162" t="str">
        <f t="shared" si="12"/>
        <v>Hóa</v>
      </c>
      <c r="I72" s="305" t="s">
        <v>355</v>
      </c>
      <c r="J72" s="305"/>
      <c r="K72" s="316"/>
      <c r="N72" s="316"/>
      <c r="O72" s="316"/>
      <c r="P72" s="316"/>
      <c r="Q72" s="316"/>
      <c r="R72" s="316"/>
      <c r="S72" s="316"/>
      <c r="T72" s="316"/>
      <c r="U72" s="316"/>
      <c r="V72" s="316"/>
      <c r="W72" s="316"/>
      <c r="X72" s="316"/>
      <c r="Y72" s="316"/>
      <c r="Z72" s="316"/>
      <c r="AA72" s="316"/>
      <c r="AB72" s="316"/>
      <c r="AC72" s="316"/>
      <c r="AD72" s="316"/>
      <c r="AE72" s="316"/>
      <c r="AF72" s="316"/>
      <c r="AG72" s="316"/>
      <c r="AH72" s="316"/>
      <c r="AI72" s="316"/>
      <c r="AJ72" s="212"/>
    </row>
    <row r="73" spans="1:36" s="118" customFormat="1" x14ac:dyDescent="0.25">
      <c r="A73" s="220"/>
      <c r="B73" s="128">
        <f>IF(D73&lt;&gt;0,MAX($B$5:B72)+1,"")</f>
        <v>58</v>
      </c>
      <c r="C73" s="132">
        <f>IF(D73=0,0,MAX($C$65:C72)+1)</f>
        <v>9</v>
      </c>
      <c r="D73" s="128" t="str">
        <f>IF(NSTonghop!$E75&lt;&gt;0,0,NSTonghop!F75)</f>
        <v>Huỳnh Văn Phước</v>
      </c>
      <c r="E73" s="136">
        <f>IF(NSTonghop!$E75&lt;&gt;0,0,NSTonghop!G75)</f>
        <v>0</v>
      </c>
      <c r="F73" s="128" t="str">
        <f>IF(NSTonghop!$E75&lt;&gt;0,0,NSTonghop!X75)</f>
        <v>Sinh</v>
      </c>
      <c r="G73" s="128" t="str">
        <f>IF(NSTonghop!$E75&lt;&gt;0,0,NSTonghop!Y75)</f>
        <v>CNNN</v>
      </c>
      <c r="H73" s="162" t="str">
        <f t="shared" si="12"/>
        <v>CNNN</v>
      </c>
      <c r="I73" s="305"/>
      <c r="J73" s="305"/>
      <c r="K73" s="315"/>
      <c r="L73" s="315"/>
      <c r="M73" s="316"/>
      <c r="N73" s="316"/>
      <c r="O73" s="316"/>
      <c r="P73" s="316"/>
      <c r="Q73" s="316"/>
      <c r="R73" s="316"/>
      <c r="S73" s="316"/>
      <c r="T73" s="316"/>
      <c r="U73" s="316"/>
      <c r="V73" s="316"/>
      <c r="W73" s="316"/>
      <c r="X73" s="316"/>
      <c r="Y73" s="316"/>
      <c r="Z73" s="316"/>
      <c r="AA73" s="316"/>
      <c r="AB73" s="316"/>
      <c r="AC73" s="316"/>
      <c r="AD73" s="316"/>
      <c r="AE73" s="316"/>
      <c r="AF73" s="316"/>
      <c r="AG73" s="316"/>
      <c r="AH73" s="316"/>
      <c r="AI73" s="316"/>
      <c r="AJ73" s="212"/>
    </row>
    <row r="74" spans="1:36" s="118" customFormat="1" x14ac:dyDescent="0.25">
      <c r="A74" s="220"/>
      <c r="B74" s="128">
        <f>IF(D74&lt;&gt;0,MAX($B$5:B73)+1,"")</f>
        <v>59</v>
      </c>
      <c r="C74" s="132">
        <f>IF(D74=0,0,MAX($C$65:C73)+1)</f>
        <v>10</v>
      </c>
      <c r="D74" s="128" t="str">
        <f>IF(NSTonghop!$E76&lt;&gt;0,0,NSTonghop!F76)</f>
        <v>Nguyễn Thị Yến Nhi</v>
      </c>
      <c r="E74" s="136" t="str">
        <f>IF(NSTonghop!$E76&lt;&gt;0,0,NSTonghop!G76)</f>
        <v>x</v>
      </c>
      <c r="F74" s="128" t="str">
        <f>IF(NSTonghop!$E76&lt;&gt;0,0,NSTonghop!X76)</f>
        <v>Sinh-KTNN</v>
      </c>
      <c r="G74" s="128" t="str">
        <f>IF(NSTonghop!$E76&lt;&gt;0,0,NSTonghop!Y76)</f>
        <v>Sinh</v>
      </c>
      <c r="H74" s="162" t="str">
        <f t="shared" si="12"/>
        <v>Sinh</v>
      </c>
      <c r="I74" s="305" t="s">
        <v>355</v>
      </c>
      <c r="J74" s="305"/>
      <c r="K74" s="315"/>
      <c r="L74" s="315"/>
      <c r="M74" s="316"/>
      <c r="N74" s="316"/>
      <c r="O74" s="316"/>
      <c r="P74" s="316"/>
      <c r="Q74" s="316"/>
      <c r="R74" s="316"/>
      <c r="S74" s="316"/>
      <c r="T74" s="316"/>
      <c r="U74" s="316"/>
      <c r="V74" s="316"/>
      <c r="W74" s="316"/>
      <c r="X74" s="316"/>
      <c r="Y74" s="316"/>
      <c r="Z74" s="316"/>
      <c r="AA74" s="316"/>
      <c r="AB74" s="316"/>
      <c r="AC74" s="316"/>
      <c r="AD74" s="316"/>
      <c r="AE74" s="316"/>
      <c r="AF74" s="316"/>
      <c r="AG74" s="316"/>
      <c r="AH74" s="316"/>
      <c r="AI74" s="316"/>
      <c r="AJ74" s="212"/>
    </row>
    <row r="75" spans="1:36" s="118" customFormat="1" x14ac:dyDescent="0.25">
      <c r="A75" s="220"/>
      <c r="B75" s="128">
        <f>IF(D75&lt;&gt;0,MAX($B$5:B74)+1,"")</f>
        <v>60</v>
      </c>
      <c r="C75" s="132">
        <f>IF(D75=0,0,MAX($C$65:C74)+1)</f>
        <v>11</v>
      </c>
      <c r="D75" s="128" t="str">
        <f>IF(NSTonghop!$E77&lt;&gt;0,0,NSTonghop!F77)</f>
        <v>Nguyễn Thị Phương Mai</v>
      </c>
      <c r="E75" s="136" t="str">
        <f>IF(NSTonghop!$E77&lt;&gt;0,0,NSTonghop!G77)</f>
        <v>x</v>
      </c>
      <c r="F75" s="128" t="str">
        <f>IF(NSTonghop!$E77&lt;&gt;0,0,NSTonghop!X77)</f>
        <v>Sinh-KTNN</v>
      </c>
      <c r="G75" s="128" t="str">
        <f>IF(NSTonghop!$E77&lt;&gt;0,0,NSTonghop!Y77)</f>
        <v>Sinh</v>
      </c>
      <c r="H75" s="162" t="str">
        <f t="shared" si="12"/>
        <v>Sinh</v>
      </c>
      <c r="I75" s="305" t="s">
        <v>355</v>
      </c>
      <c r="J75" s="305"/>
      <c r="K75" s="315"/>
      <c r="L75" s="315"/>
      <c r="M75" s="316"/>
      <c r="N75" s="316"/>
      <c r="O75" s="316"/>
      <c r="P75" s="316"/>
      <c r="Q75" s="316"/>
      <c r="R75" s="316"/>
      <c r="S75" s="316"/>
      <c r="T75" s="316"/>
      <c r="U75" s="316"/>
      <c r="V75" s="316"/>
      <c r="W75" s="316"/>
      <c r="X75" s="316"/>
      <c r="Y75" s="316"/>
      <c r="Z75" s="316"/>
      <c r="AA75" s="316"/>
      <c r="AB75" s="316"/>
      <c r="AC75" s="316"/>
      <c r="AD75" s="316"/>
      <c r="AE75" s="316"/>
      <c r="AF75" s="316"/>
      <c r="AG75" s="316"/>
      <c r="AH75" s="316"/>
      <c r="AI75" s="316"/>
      <c r="AJ75" s="212"/>
    </row>
    <row r="76" spans="1:36" s="118" customFormat="1" x14ac:dyDescent="0.25">
      <c r="A76" s="220"/>
      <c r="B76" s="128">
        <f>IF(D76&lt;&gt;0,MAX($B$5:B75)+1,"")</f>
        <v>61</v>
      </c>
      <c r="C76" s="132">
        <f>IF(D76=0,0,MAX($C$65:C75)+1)</f>
        <v>12</v>
      </c>
      <c r="D76" s="128" t="str">
        <f>IF(NSTonghop!$E78&lt;&gt;0,0,NSTonghop!F78)</f>
        <v>Đoàn Thị Ghi</v>
      </c>
      <c r="E76" s="136" t="str">
        <f>IF(NSTonghop!$E78&lt;&gt;0,0,NSTonghop!G78)</f>
        <v>x</v>
      </c>
      <c r="F76" s="128" t="str">
        <f>IF(NSTonghop!$E78&lt;&gt;0,0,NSTonghop!X78)</f>
        <v>Sinh-KTNN</v>
      </c>
      <c r="G76" s="128" t="str">
        <f>IF(NSTonghop!$E78&lt;&gt;0,0,NSTonghop!Y78)</f>
        <v>Sinh</v>
      </c>
      <c r="H76" s="162" t="str">
        <f t="shared" si="12"/>
        <v>Sinh</v>
      </c>
      <c r="I76" s="305"/>
      <c r="J76" s="305"/>
      <c r="K76" s="315"/>
      <c r="L76" s="315"/>
      <c r="M76" s="316"/>
      <c r="N76" s="316"/>
      <c r="O76" s="316"/>
      <c r="P76" s="316"/>
      <c r="Q76" s="316"/>
      <c r="R76" s="316"/>
      <c r="S76" s="316"/>
      <c r="T76" s="316"/>
      <c r="U76" s="316"/>
      <c r="V76" s="316"/>
      <c r="W76" s="316"/>
      <c r="X76" s="316"/>
      <c r="Y76" s="316"/>
      <c r="Z76" s="316"/>
      <c r="AA76" s="316"/>
      <c r="AB76" s="316"/>
      <c r="AC76" s="316"/>
      <c r="AD76" s="316"/>
      <c r="AE76" s="316"/>
      <c r="AF76" s="316"/>
      <c r="AG76" s="316"/>
      <c r="AH76" s="316"/>
      <c r="AI76" s="316"/>
      <c r="AJ76" s="212"/>
    </row>
    <row r="77" spans="1:36" s="118" customFormat="1" x14ac:dyDescent="0.25">
      <c r="A77" s="220"/>
      <c r="B77" s="128">
        <f>IF(D77&lt;&gt;0,MAX($B$5:B76)+1,"")</f>
        <v>62</v>
      </c>
      <c r="C77" s="132">
        <f>IF(D77=0,0,MAX($C$65:C76)+1)</f>
        <v>13</v>
      </c>
      <c r="D77" s="128" t="str">
        <f>IF(NSTonghop!$E79&lt;&gt;0,0,NSTonghop!F79)</f>
        <v>Phan Thị Hồng Ngoan</v>
      </c>
      <c r="E77" s="136" t="str">
        <f>IF(NSTonghop!$E79&lt;&gt;0,0,NSTonghop!G79)</f>
        <v>x</v>
      </c>
      <c r="F77" s="128" t="str">
        <f>IF(NSTonghop!$E79&lt;&gt;0,0,NSTonghop!X79)</f>
        <v>Sinh-KTNN</v>
      </c>
      <c r="G77" s="128" t="str">
        <f>IF(NSTonghop!$E79&lt;&gt;0,0,NSTonghop!Y79)</f>
        <v>Sinh</v>
      </c>
      <c r="H77" s="162" t="str">
        <f t="shared" si="12"/>
        <v>Sinh</v>
      </c>
      <c r="I77" s="305" t="s">
        <v>355</v>
      </c>
      <c r="J77" s="305"/>
      <c r="K77" s="315"/>
      <c r="L77" s="315"/>
      <c r="M77" s="316"/>
      <c r="N77" s="316"/>
      <c r="O77" s="316"/>
      <c r="P77" s="316"/>
      <c r="Q77" s="316"/>
      <c r="R77" s="316"/>
      <c r="S77" s="316"/>
      <c r="T77" s="316"/>
      <c r="U77" s="316"/>
      <c r="V77" s="316"/>
      <c r="W77" s="316"/>
      <c r="X77" s="316"/>
      <c r="Y77" s="316"/>
      <c r="Z77" s="316"/>
      <c r="AA77" s="316"/>
      <c r="AB77" s="316"/>
      <c r="AC77" s="316"/>
      <c r="AD77" s="316"/>
      <c r="AE77" s="316"/>
      <c r="AF77" s="316"/>
      <c r="AG77" s="316"/>
      <c r="AH77" s="316"/>
      <c r="AI77" s="316"/>
      <c r="AJ77" s="212"/>
    </row>
    <row r="78" spans="1:36" s="118" customFormat="1" x14ac:dyDescent="0.25">
      <c r="A78" s="220"/>
      <c r="B78" s="128">
        <f>IF(D78&lt;&gt;0,MAX($B$5:B77)+1,"")</f>
        <v>63</v>
      </c>
      <c r="C78" s="132">
        <f>IF(D78=0,0,MAX($C$65:C77)+1)</f>
        <v>14</v>
      </c>
      <c r="D78" s="128" t="str">
        <f>IF(NSTonghop!$E80&lt;&gt;0,0,NSTonghop!F80)</f>
        <v>Nguyễn Thanh Liêm</v>
      </c>
      <c r="E78" s="136">
        <f>IF(NSTonghop!$E80&lt;&gt;0,0,NSTonghop!G80)</f>
        <v>0</v>
      </c>
      <c r="F78" s="128" t="str">
        <f>IF(NSTonghop!$E80&lt;&gt;0,0,NSTonghop!X80)</f>
        <v>Lý-KTCN</v>
      </c>
      <c r="G78" s="128" t="str">
        <f>IF(NSTonghop!$E80&lt;&gt;0,0,NSTonghop!Y80)</f>
        <v>Lý</v>
      </c>
      <c r="H78" s="162" t="str">
        <f t="shared" si="12"/>
        <v>Lý</v>
      </c>
      <c r="I78" s="305" t="s">
        <v>355</v>
      </c>
      <c r="J78" s="305"/>
      <c r="K78" s="315"/>
      <c r="L78" s="315"/>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212"/>
    </row>
    <row r="79" spans="1:36" s="118" customFormat="1" x14ac:dyDescent="0.25">
      <c r="A79" s="220"/>
      <c r="B79" s="128">
        <f>IF(D79&lt;&gt;0,MAX($B$5:B78)+1,"")</f>
        <v>64</v>
      </c>
      <c r="C79" s="132">
        <f>IF(D79=0,0,MAX($C$65:C78)+1)</f>
        <v>15</v>
      </c>
      <c r="D79" s="128" t="str">
        <f>IF(NSTonghop!$E81&lt;&gt;0,0,NSTonghop!F81)</f>
        <v>Trần Thị Sẫm</v>
      </c>
      <c r="E79" s="136" t="str">
        <f>IF(NSTonghop!$E81&lt;&gt;0,0,NSTonghop!G81)</f>
        <v>x</v>
      </c>
      <c r="F79" s="128" t="str">
        <f>IF(NSTonghop!$E81&lt;&gt;0,0,NSTonghop!X81)</f>
        <v>Lý-KTCN</v>
      </c>
      <c r="G79" s="128" t="str">
        <f>IF(NSTonghop!$E81&lt;&gt;0,0,NSTonghop!Y81)</f>
        <v>Lý</v>
      </c>
      <c r="H79" s="162" t="str">
        <f t="shared" si="12"/>
        <v>Lý</v>
      </c>
      <c r="I79" s="305"/>
      <c r="J79" s="305"/>
      <c r="K79" s="315"/>
      <c r="L79" s="315"/>
      <c r="M79" s="316"/>
      <c r="N79" s="316"/>
      <c r="O79" s="316"/>
      <c r="P79" s="316"/>
      <c r="Q79" s="316"/>
      <c r="R79" s="316"/>
      <c r="S79" s="316"/>
      <c r="T79" s="316"/>
      <c r="U79" s="316"/>
      <c r="V79" s="316"/>
      <c r="W79" s="316"/>
      <c r="X79" s="316"/>
      <c r="Y79" s="316"/>
      <c r="Z79" s="316"/>
      <c r="AA79" s="316"/>
      <c r="AB79" s="316"/>
      <c r="AC79" s="316"/>
      <c r="AD79" s="316"/>
      <c r="AE79" s="316"/>
      <c r="AF79" s="316"/>
      <c r="AG79" s="316"/>
      <c r="AH79" s="316"/>
      <c r="AI79" s="316"/>
      <c r="AJ79" s="212"/>
    </row>
    <row r="80" spans="1:36" s="118" customFormat="1" x14ac:dyDescent="0.25">
      <c r="A80" s="220"/>
      <c r="B80" s="128" t="str">
        <f>IF(D80&lt;&gt;0,MAX($B$5:B79)+1,"")</f>
        <v/>
      </c>
      <c r="C80" s="132">
        <f>IF(D80=0,0,MAX($C$65:C79)+1)</f>
        <v>0</v>
      </c>
      <c r="D80" s="128">
        <f>IF(NSTonghop!$E82&lt;&gt;0,0,NSTonghop!F82)</f>
        <v>0</v>
      </c>
      <c r="E80" s="136">
        <f>IF(NSTonghop!$E82&lt;&gt;0,0,NSTonghop!G82)</f>
        <v>0</v>
      </c>
      <c r="F80" s="128">
        <f>IF(NSTonghop!$E82&lt;&gt;0,0,NSTonghop!X82)</f>
        <v>0</v>
      </c>
      <c r="G80" s="128">
        <f>IF(NSTonghop!$E82&lt;&gt;0,0,NSTonghop!Y82)</f>
        <v>0</v>
      </c>
      <c r="H80" s="162">
        <f t="shared" si="12"/>
        <v>0</v>
      </c>
      <c r="I80" s="305"/>
      <c r="J80" s="305"/>
      <c r="K80" s="315"/>
      <c r="L80" s="315"/>
      <c r="M80" s="316"/>
      <c r="N80" s="316"/>
      <c r="O80" s="316"/>
      <c r="P80" s="316"/>
      <c r="Q80" s="316"/>
      <c r="R80" s="316"/>
      <c r="S80" s="316"/>
      <c r="T80" s="316"/>
      <c r="U80" s="316"/>
      <c r="V80" s="316"/>
      <c r="W80" s="316"/>
      <c r="X80" s="316"/>
      <c r="Y80" s="316"/>
      <c r="Z80" s="316"/>
      <c r="AA80" s="316"/>
      <c r="AB80" s="316"/>
      <c r="AC80" s="316"/>
      <c r="AD80" s="316"/>
      <c r="AE80" s="316"/>
      <c r="AF80" s="316"/>
      <c r="AG80" s="316"/>
      <c r="AH80" s="316"/>
      <c r="AI80" s="316"/>
      <c r="AJ80" s="212"/>
    </row>
    <row r="81" spans="1:36" s="118" customFormat="1" x14ac:dyDescent="0.25">
      <c r="A81" s="220"/>
      <c r="B81" s="128" t="str">
        <f>IF(D81&lt;&gt;0,MAX($B$5:B80)+1,"")</f>
        <v/>
      </c>
      <c r="C81" s="132">
        <f>IF(D81=0,0,MAX($C$65:C80)+1)</f>
        <v>0</v>
      </c>
      <c r="D81" s="142">
        <f>IF(NSTonghop!$E83&lt;&gt;0,0,NSTonghop!F83)</f>
        <v>0</v>
      </c>
      <c r="E81" s="148">
        <f>IF(NSTonghop!$E83&lt;&gt;0,0,NSTonghop!G83)</f>
        <v>0</v>
      </c>
      <c r="F81" s="142">
        <f>IF(NSTonghop!$E83&lt;&gt;0,0,NSTonghop!X83)</f>
        <v>0</v>
      </c>
      <c r="G81" s="142">
        <f>IF(NSTonghop!$E83&lt;&gt;0,0,NSTonghop!Y83)</f>
        <v>0</v>
      </c>
      <c r="H81" s="173">
        <f t="shared" si="12"/>
        <v>0</v>
      </c>
      <c r="I81" s="305"/>
      <c r="J81" s="305"/>
      <c r="K81" s="315"/>
      <c r="L81" s="315"/>
      <c r="M81" s="316"/>
      <c r="N81" s="316"/>
      <c r="O81" s="316"/>
      <c r="P81" s="316"/>
      <c r="Q81" s="316"/>
      <c r="R81" s="316"/>
      <c r="S81" s="316"/>
      <c r="T81" s="316"/>
      <c r="U81" s="316"/>
      <c r="V81" s="316"/>
      <c r="W81" s="316"/>
      <c r="X81" s="316"/>
      <c r="Y81" s="316"/>
      <c r="Z81" s="316"/>
      <c r="AA81" s="316"/>
      <c r="AB81" s="316"/>
      <c r="AC81" s="316"/>
      <c r="AD81" s="316"/>
      <c r="AE81" s="316"/>
      <c r="AF81" s="316"/>
      <c r="AG81" s="316"/>
      <c r="AH81" s="316"/>
      <c r="AI81" s="316"/>
      <c r="AJ81" s="212"/>
    </row>
    <row r="82" spans="1:36" x14ac:dyDescent="0.25">
      <c r="A82" s="220"/>
      <c r="B82" s="128">
        <f>IF(D82&lt;&gt;0,MAX($B$5:B81)+1,"")</f>
        <v>65</v>
      </c>
      <c r="C82" s="152">
        <f>IF(D82=0,0,1)</f>
        <v>1</v>
      </c>
      <c r="D82" s="151" t="str">
        <f>IF(NSTonghop!$E84&lt;&gt;0,0,NSTonghop!F84)</f>
        <v>Tiêu Thanh Nam</v>
      </c>
      <c r="E82" s="157">
        <f>IF(NSTonghop!$E84&lt;&gt;0,0,NSTonghop!G84)</f>
        <v>0</v>
      </c>
      <c r="F82" s="151" t="str">
        <f>IF(NSTonghop!$E84&lt;&gt;0,0,NSTonghop!X84)</f>
        <v>TD</v>
      </c>
      <c r="G82" s="151" t="str">
        <f>IF(NSTonghop!$E84&lt;&gt;0,0,NSTonghop!Y84)</f>
        <v>TD</v>
      </c>
      <c r="H82" s="151" t="str">
        <f t="shared" ref="H82:H104" si="14">G82</f>
        <v>TD</v>
      </c>
      <c r="I82" s="304"/>
      <c r="J82" s="304"/>
      <c r="K82" s="313"/>
      <c r="L82" s="315"/>
      <c r="M82" s="316"/>
      <c r="N82" s="316"/>
      <c r="O82" s="316"/>
      <c r="P82" s="316"/>
      <c r="Q82" s="316"/>
      <c r="R82" s="316"/>
      <c r="S82" s="316"/>
      <c r="T82" s="316"/>
      <c r="U82" s="316"/>
      <c r="V82" s="316"/>
      <c r="W82" s="316"/>
      <c r="X82" s="316"/>
      <c r="Y82" s="316"/>
      <c r="Z82" s="316"/>
      <c r="AA82" s="316"/>
      <c r="AB82" s="316"/>
      <c r="AC82" s="316"/>
      <c r="AD82" s="316"/>
      <c r="AE82" s="316"/>
      <c r="AF82" s="316"/>
      <c r="AG82" s="316"/>
      <c r="AH82" s="316"/>
      <c r="AI82" s="316"/>
      <c r="AJ82" s="212"/>
    </row>
    <row r="83" spans="1:36" x14ac:dyDescent="0.25">
      <c r="A83" s="220"/>
      <c r="B83" s="128">
        <f>IF(D83&lt;&gt;0,MAX($B$5:B82)+1,"")</f>
        <v>66</v>
      </c>
      <c r="C83" s="163">
        <f>IF(D83=0,0,MAX($C$82:C82)+1)</f>
        <v>2</v>
      </c>
      <c r="D83" s="162" t="str">
        <f>IF(NSTonghop!$E85&lt;&gt;0,0,NSTonghop!F85)</f>
        <v>Dương Bình Trọng</v>
      </c>
      <c r="E83" s="168">
        <f>IF(NSTonghop!$E85&lt;&gt;0,0,NSTonghop!G85)</f>
        <v>0</v>
      </c>
      <c r="F83" s="162" t="str">
        <f>IF(NSTonghop!$E85&lt;&gt;0,0,NSTonghop!X85)</f>
        <v>TD</v>
      </c>
      <c r="G83" s="162" t="str">
        <f>IF(NSTonghop!$E85&lt;&gt;0,0,NSTonghop!Y85)</f>
        <v>TD</v>
      </c>
      <c r="H83" s="162" t="str">
        <f t="shared" si="14"/>
        <v>TD</v>
      </c>
      <c r="I83" s="304"/>
      <c r="J83" s="304"/>
      <c r="K83" s="313"/>
      <c r="L83" s="313"/>
      <c r="M83" s="314"/>
      <c r="N83" s="314"/>
      <c r="O83" s="314"/>
      <c r="P83" s="314"/>
      <c r="Q83" s="314"/>
      <c r="R83" s="314"/>
      <c r="S83" s="314"/>
      <c r="T83" s="314"/>
      <c r="U83" s="314"/>
      <c r="V83" s="314"/>
      <c r="W83" s="314"/>
      <c r="X83" s="314"/>
      <c r="Y83" s="314"/>
      <c r="Z83" s="314"/>
      <c r="AA83" s="314"/>
      <c r="AB83" s="314"/>
      <c r="AC83" s="314"/>
      <c r="AD83" s="314"/>
      <c r="AE83" s="314"/>
      <c r="AF83" s="314"/>
      <c r="AG83" s="314"/>
      <c r="AH83" s="314"/>
      <c r="AI83" s="314"/>
      <c r="AJ83" s="212"/>
    </row>
    <row r="84" spans="1:36" x14ac:dyDescent="0.25">
      <c r="A84" s="220"/>
      <c r="B84" s="128">
        <f>IF(D84&lt;&gt;0,MAX($B$5:B83)+1,"")</f>
        <v>67</v>
      </c>
      <c r="C84" s="163">
        <f>IF(D84=0,0,MAX($C$82:C83)+1)</f>
        <v>3</v>
      </c>
      <c r="D84" s="162" t="str">
        <f>IF(NSTonghop!$E86&lt;&gt;0,0,NSTonghop!F86)</f>
        <v>Võ Thanh Cần</v>
      </c>
      <c r="E84" s="168">
        <f>IF(NSTonghop!$E86&lt;&gt;0,0,NSTonghop!G86)</f>
        <v>0</v>
      </c>
      <c r="F84" s="162" t="str">
        <f>IF(NSTonghop!$E86&lt;&gt;0,0,NSTonghop!X86)</f>
        <v>TD</v>
      </c>
      <c r="G84" s="162" t="str">
        <f>IF(NSTonghop!$E86&lt;&gt;0,0,NSTonghop!Y86)</f>
        <v>TD</v>
      </c>
      <c r="H84" s="162" t="str">
        <f t="shared" si="14"/>
        <v>TD</v>
      </c>
      <c r="I84" s="304" t="s">
        <v>355</v>
      </c>
      <c r="J84" s="304"/>
      <c r="K84" s="313"/>
      <c r="L84" s="313"/>
      <c r="M84" s="314"/>
      <c r="N84" s="314"/>
      <c r="O84" s="314"/>
      <c r="P84" s="314"/>
      <c r="Q84" s="314"/>
      <c r="R84" s="314"/>
      <c r="S84" s="314"/>
      <c r="T84" s="314"/>
      <c r="U84" s="314"/>
      <c r="V84" s="314"/>
      <c r="W84" s="314"/>
      <c r="X84" s="314"/>
      <c r="Y84" s="314"/>
      <c r="Z84" s="314"/>
      <c r="AA84" s="314"/>
      <c r="AB84" s="314"/>
      <c r="AC84" s="314"/>
      <c r="AD84" s="314"/>
      <c r="AE84" s="314"/>
      <c r="AF84" s="314"/>
      <c r="AG84" s="314"/>
      <c r="AH84" s="314"/>
      <c r="AI84" s="314"/>
      <c r="AJ84" s="212"/>
    </row>
    <row r="85" spans="1:36" x14ac:dyDescent="0.25">
      <c r="A85" s="220"/>
      <c r="B85" s="128">
        <f>IF(D85&lt;&gt;0,MAX($B$5:B84)+1,"")</f>
        <v>68</v>
      </c>
      <c r="C85" s="163">
        <f>IF(D85=0,0,MAX($C$82:C84)+1)</f>
        <v>4</v>
      </c>
      <c r="D85" s="162" t="str">
        <f>IF(NSTonghop!$E87&lt;&gt;0,0,NSTonghop!F87)</f>
        <v>Lê Hoàng Sơn</v>
      </c>
      <c r="E85" s="168">
        <f>IF(NSTonghop!$E87&lt;&gt;0,0,NSTonghop!G87)</f>
        <v>0</v>
      </c>
      <c r="F85" s="162" t="str">
        <f>IF(NSTonghop!$E87&lt;&gt;0,0,NSTonghop!X87)</f>
        <v>TD</v>
      </c>
      <c r="G85" s="162" t="str">
        <f>IF(NSTonghop!$E87&lt;&gt;0,0,NSTonghop!Y87)</f>
        <v>TD</v>
      </c>
      <c r="H85" s="162" t="str">
        <f t="shared" si="14"/>
        <v>TD</v>
      </c>
      <c r="I85" s="304"/>
      <c r="J85" s="304"/>
      <c r="K85" s="313"/>
      <c r="L85" s="313"/>
      <c r="M85" s="314"/>
      <c r="N85" s="314"/>
      <c r="O85" s="314"/>
      <c r="P85" s="314"/>
      <c r="Q85" s="314"/>
      <c r="R85" s="314"/>
      <c r="S85" s="314"/>
      <c r="T85" s="314"/>
      <c r="U85" s="314"/>
      <c r="V85" s="314"/>
      <c r="W85" s="314"/>
      <c r="X85" s="314"/>
      <c r="Y85" s="314"/>
      <c r="Z85" s="314"/>
      <c r="AA85" s="314"/>
      <c r="AB85" s="314"/>
      <c r="AC85" s="314"/>
      <c r="AD85" s="314"/>
      <c r="AE85" s="314"/>
      <c r="AF85" s="314"/>
      <c r="AG85" s="314"/>
      <c r="AH85" s="314"/>
      <c r="AI85" s="314"/>
      <c r="AJ85" s="212"/>
    </row>
    <row r="86" spans="1:36" x14ac:dyDescent="0.25">
      <c r="A86" s="220"/>
      <c r="B86" s="128">
        <f>IF(D86&lt;&gt;0,MAX($B$5:B85)+1,"")</f>
        <v>69</v>
      </c>
      <c r="C86" s="163">
        <f>IF(D86=0,0,MAX($C$82:C85)+1)</f>
        <v>5</v>
      </c>
      <c r="D86" s="162" t="str">
        <f>IF(NSTonghop!$E88&lt;&gt;0,0,NSTonghop!F88)</f>
        <v>Huỳnh Thảo Bích</v>
      </c>
      <c r="E86" s="168" t="str">
        <f>IF(NSTonghop!$E88&lt;&gt;0,0,NSTonghop!G88)</f>
        <v>x</v>
      </c>
      <c r="F86" s="162" t="str">
        <f>IF(NSTonghop!$E88&lt;&gt;0,0,NSTonghop!X88)</f>
        <v>Nhạc</v>
      </c>
      <c r="G86" s="162" t="str">
        <f>IF(NSTonghop!$E88&lt;&gt;0,0,NSTonghop!Y88)</f>
        <v>Nhạc</v>
      </c>
      <c r="H86" s="162" t="str">
        <f t="shared" si="14"/>
        <v>Nhạc</v>
      </c>
      <c r="I86" s="304"/>
      <c r="J86" s="304"/>
      <c r="K86" s="313"/>
      <c r="L86" s="313"/>
      <c r="M86" s="314"/>
      <c r="N86" s="314"/>
      <c r="O86" s="314"/>
      <c r="P86" s="314"/>
      <c r="Q86" s="314"/>
      <c r="R86" s="314"/>
      <c r="S86" s="314"/>
      <c r="T86" s="314"/>
      <c r="U86" s="314"/>
      <c r="V86" s="314"/>
      <c r="W86" s="314"/>
      <c r="X86" s="314"/>
      <c r="Y86" s="314"/>
      <c r="Z86" s="314"/>
      <c r="AA86" s="314"/>
      <c r="AB86" s="314"/>
      <c r="AC86" s="314"/>
      <c r="AD86" s="314"/>
      <c r="AE86" s="314"/>
      <c r="AF86" s="314"/>
      <c r="AG86" s="314"/>
      <c r="AH86" s="314"/>
      <c r="AI86" s="314"/>
      <c r="AJ86" s="212"/>
    </row>
    <row r="87" spans="1:36" x14ac:dyDescent="0.25">
      <c r="A87" s="220"/>
      <c r="B87" s="128">
        <f>IF(D87&lt;&gt;0,MAX($B$5:B86)+1,"")</f>
        <v>70</v>
      </c>
      <c r="C87" s="163">
        <f>IF(D87=0,0,MAX($C$82:C86)+1)</f>
        <v>6</v>
      </c>
      <c r="D87" s="162" t="str">
        <f>IF(NSTonghop!$E89&lt;&gt;0,0,NSTonghop!F89)</f>
        <v>Phan Thị Anh Kim</v>
      </c>
      <c r="E87" s="168" t="str">
        <f>IF(NSTonghop!$E89&lt;&gt;0,0,NSTonghop!G89)</f>
        <v>x</v>
      </c>
      <c r="F87" s="162" t="str">
        <f>IF(NSTonghop!$E89&lt;&gt;0,0,NSTonghop!X89)</f>
        <v>Nhạc</v>
      </c>
      <c r="G87" s="162" t="str">
        <f>IF(NSTonghop!$E89&lt;&gt;0,0,NSTonghop!Y89)</f>
        <v>Nhạc</v>
      </c>
      <c r="H87" s="162" t="str">
        <f t="shared" si="14"/>
        <v>Nhạc</v>
      </c>
      <c r="I87" s="304"/>
      <c r="J87" s="304"/>
      <c r="K87" s="313"/>
      <c r="L87" s="313"/>
      <c r="M87" s="314"/>
      <c r="N87" s="314"/>
      <c r="O87" s="314"/>
      <c r="P87" s="314"/>
      <c r="Q87" s="314"/>
      <c r="R87" s="314"/>
      <c r="S87" s="314"/>
      <c r="T87" s="314"/>
      <c r="U87" s="314"/>
      <c r="V87" s="314"/>
      <c r="W87" s="314"/>
      <c r="X87" s="314"/>
      <c r="Y87" s="314"/>
      <c r="Z87" s="314"/>
      <c r="AA87" s="314"/>
      <c r="AB87" s="314"/>
      <c r="AC87" s="314"/>
      <c r="AD87" s="314"/>
      <c r="AE87" s="314"/>
      <c r="AF87" s="314"/>
      <c r="AG87" s="314"/>
      <c r="AH87" s="314"/>
      <c r="AI87" s="314"/>
      <c r="AJ87" s="212"/>
    </row>
    <row r="88" spans="1:36" x14ac:dyDescent="0.25">
      <c r="A88" s="220"/>
      <c r="B88" s="128">
        <f>IF(D88&lt;&gt;0,MAX($B$5:B87)+1,"")</f>
        <v>71</v>
      </c>
      <c r="C88" s="163">
        <f>IF(D88=0,0,MAX($C$82:C87)+1)</f>
        <v>7</v>
      </c>
      <c r="D88" s="162" t="str">
        <f>IF(NSTonghop!$E90&lt;&gt;0,0,NSTonghop!F90)</f>
        <v>Phan Công Trình</v>
      </c>
      <c r="E88" s="168">
        <f>IF(NSTonghop!$E90&lt;&gt;0,0,NSTonghop!G90)</f>
        <v>0</v>
      </c>
      <c r="F88" s="162" t="str">
        <f>IF(NSTonghop!$E90&lt;&gt;0,0,NSTonghop!X90)</f>
        <v>MT</v>
      </c>
      <c r="G88" s="162" t="str">
        <f>IF(NSTonghop!$E90&lt;&gt;0,0,NSTonghop!Y90)</f>
        <v>MT</v>
      </c>
      <c r="H88" s="162" t="str">
        <f t="shared" si="14"/>
        <v>MT</v>
      </c>
      <c r="I88" s="304" t="s">
        <v>355</v>
      </c>
      <c r="J88" s="304"/>
      <c r="K88" s="313"/>
      <c r="L88" s="313"/>
      <c r="M88" s="314"/>
      <c r="N88" s="314"/>
      <c r="O88" s="314"/>
      <c r="P88" s="314"/>
      <c r="Q88" s="314"/>
      <c r="R88" s="314"/>
      <c r="S88" s="314"/>
      <c r="T88" s="314"/>
      <c r="U88" s="314"/>
      <c r="V88" s="314"/>
      <c r="W88" s="314"/>
      <c r="X88" s="314"/>
      <c r="Y88" s="314"/>
      <c r="Z88" s="314"/>
      <c r="AA88" s="314"/>
      <c r="AB88" s="314"/>
      <c r="AC88" s="314"/>
      <c r="AD88" s="314"/>
      <c r="AE88" s="314"/>
      <c r="AF88" s="314"/>
      <c r="AG88" s="314"/>
      <c r="AH88" s="314"/>
      <c r="AI88" s="314"/>
      <c r="AJ88" s="212"/>
    </row>
    <row r="89" spans="1:36" x14ac:dyDescent="0.25">
      <c r="A89" s="220"/>
      <c r="B89" s="128">
        <f>IF(D89&lt;&gt;0,MAX($B$5:B88)+1,"")</f>
        <v>72</v>
      </c>
      <c r="C89" s="163">
        <f>IF(D89=0,0,MAX($C$82:C88)+1)</f>
        <v>8</v>
      </c>
      <c r="D89" s="173" t="str">
        <f>IF(NSTonghop!$E91&lt;&gt;0,0,NSTonghop!F91)</f>
        <v>Phạm Tấn Phong</v>
      </c>
      <c r="E89" s="179">
        <f>IF(NSTonghop!$E91&lt;&gt;0,0,NSTonghop!G91)</f>
        <v>0</v>
      </c>
      <c r="F89" s="173" t="str">
        <f>IF(NSTonghop!$E91&lt;&gt;0,0,NSTonghop!X91)</f>
        <v>MT</v>
      </c>
      <c r="G89" s="173" t="str">
        <f>IF(NSTonghop!$E91&lt;&gt;0,0,NSTonghop!Y91)</f>
        <v>MT</v>
      </c>
      <c r="H89" s="173" t="str">
        <f t="shared" si="14"/>
        <v>MT</v>
      </c>
      <c r="I89" s="304"/>
      <c r="J89" s="304"/>
      <c r="K89" s="313"/>
      <c r="L89" s="313"/>
      <c r="M89" s="314"/>
      <c r="N89" s="314"/>
      <c r="O89" s="314"/>
      <c r="P89" s="314"/>
      <c r="Q89" s="314"/>
      <c r="R89" s="314"/>
      <c r="S89" s="314"/>
      <c r="T89" s="314"/>
      <c r="U89" s="314"/>
      <c r="V89" s="314"/>
      <c r="W89" s="314"/>
      <c r="X89" s="314"/>
      <c r="Y89" s="314"/>
      <c r="Z89" s="314"/>
      <c r="AA89" s="314"/>
      <c r="AB89" s="314"/>
      <c r="AC89" s="314"/>
      <c r="AD89" s="314"/>
      <c r="AE89" s="314"/>
      <c r="AF89" s="314"/>
      <c r="AG89" s="314"/>
      <c r="AH89" s="314"/>
      <c r="AI89" s="314"/>
      <c r="AJ89" s="212"/>
    </row>
    <row r="90" spans="1:36" x14ac:dyDescent="0.25">
      <c r="A90" s="220"/>
      <c r="B90" s="128" t="str">
        <f>IF(D90&lt;&gt;0,MAX($B$5:B89)+1,"")</f>
        <v/>
      </c>
      <c r="C90" s="190"/>
      <c r="D90" s="151">
        <f>IF(NSTonghop!$E92&lt;&gt;0,0,NSTonghop!F92)</f>
        <v>0</v>
      </c>
      <c r="E90" s="157">
        <f>IF(NSTonghop!$E92&lt;&gt;0,0,NSTonghop!G92)</f>
        <v>0</v>
      </c>
      <c r="F90" s="151">
        <f>IF(NSTonghop!$E92&lt;&gt;0,0,NSTonghop!X92)</f>
        <v>0</v>
      </c>
      <c r="G90" s="151">
        <f>IF(NSTonghop!$E92&lt;&gt;0,0,NSTonghop!Y92)</f>
        <v>0</v>
      </c>
      <c r="H90" s="151">
        <f t="shared" si="14"/>
        <v>0</v>
      </c>
      <c r="I90" s="304"/>
      <c r="J90" s="304"/>
      <c r="K90" s="313"/>
      <c r="L90" s="313"/>
      <c r="M90" s="314"/>
      <c r="N90" s="314"/>
      <c r="O90" s="314"/>
      <c r="P90" s="314"/>
      <c r="Q90" s="314"/>
      <c r="R90" s="314"/>
      <c r="S90" s="314"/>
      <c r="T90" s="314"/>
      <c r="U90" s="314"/>
      <c r="V90" s="314"/>
      <c r="W90" s="314"/>
      <c r="X90" s="314"/>
      <c r="Y90" s="314"/>
      <c r="Z90" s="314"/>
      <c r="AA90" s="314"/>
      <c r="AB90" s="314"/>
      <c r="AC90" s="314"/>
      <c r="AD90" s="314"/>
      <c r="AE90" s="314"/>
      <c r="AF90" s="314"/>
      <c r="AG90" s="314"/>
      <c r="AH90" s="314"/>
      <c r="AI90" s="314"/>
      <c r="AJ90" s="212"/>
    </row>
    <row r="91" spans="1:36" x14ac:dyDescent="0.25">
      <c r="A91" s="220"/>
      <c r="B91" s="128" t="str">
        <f>IF(D91&lt;&gt;0,MAX($B$5:B90)+1,"")</f>
        <v/>
      </c>
      <c r="C91" s="191"/>
      <c r="D91" s="162">
        <f>IF(NSTonghop!$E93&lt;&gt;0,0,NSTonghop!F93)</f>
        <v>0</v>
      </c>
      <c r="E91" s="168">
        <f>IF(NSTonghop!$E93&lt;&gt;0,0,NSTonghop!G93)</f>
        <v>0</v>
      </c>
      <c r="F91" s="162">
        <f>IF(NSTonghop!$E93&lt;&gt;0,0,NSTonghop!X93)</f>
        <v>0</v>
      </c>
      <c r="G91" s="162">
        <f>IF(NSTonghop!$E93&lt;&gt;0,0,NSTonghop!Y93)</f>
        <v>0</v>
      </c>
      <c r="H91" s="162">
        <f t="shared" si="14"/>
        <v>0</v>
      </c>
      <c r="I91" s="304"/>
      <c r="J91" s="304"/>
      <c r="K91" s="313"/>
      <c r="L91" s="313"/>
      <c r="M91" s="314"/>
      <c r="N91" s="314"/>
      <c r="O91" s="314"/>
      <c r="P91" s="314"/>
      <c r="Q91" s="314"/>
      <c r="R91" s="314"/>
      <c r="S91" s="314"/>
      <c r="T91" s="314"/>
      <c r="U91" s="314"/>
      <c r="V91" s="314"/>
      <c r="W91" s="314"/>
      <c r="X91" s="314"/>
      <c r="Y91" s="314"/>
      <c r="Z91" s="314"/>
      <c r="AA91" s="314"/>
      <c r="AB91" s="314"/>
      <c r="AC91" s="314"/>
      <c r="AD91" s="314"/>
      <c r="AE91" s="314"/>
      <c r="AF91" s="314"/>
      <c r="AG91" s="314"/>
      <c r="AH91" s="314"/>
      <c r="AI91" s="314"/>
      <c r="AJ91" s="212"/>
    </row>
    <row r="92" spans="1:36" x14ac:dyDescent="0.25">
      <c r="A92" s="220"/>
      <c r="B92" s="128" t="str">
        <f>IF(D92&lt;&gt;0,MAX($B$5:B91)+1,"")</f>
        <v/>
      </c>
      <c r="C92" s="191"/>
      <c r="D92" s="162">
        <f>IF(NSTonghop!$E94&lt;&gt;0,0,NSTonghop!F94)</f>
        <v>0</v>
      </c>
      <c r="E92" s="168">
        <f>IF(NSTonghop!$E94&lt;&gt;0,0,NSTonghop!G94)</f>
        <v>0</v>
      </c>
      <c r="F92" s="162">
        <f>IF(NSTonghop!$E94&lt;&gt;0,0,NSTonghop!X94)</f>
        <v>0</v>
      </c>
      <c r="G92" s="162">
        <f>IF(NSTonghop!$E94&lt;&gt;0,0,NSTonghop!Y94)</f>
        <v>0</v>
      </c>
      <c r="H92" s="162">
        <f t="shared" si="14"/>
        <v>0</v>
      </c>
      <c r="I92" s="304"/>
      <c r="J92" s="304"/>
      <c r="K92" s="313"/>
      <c r="L92" s="313"/>
      <c r="M92" s="314"/>
      <c r="N92" s="314"/>
      <c r="O92" s="314"/>
      <c r="P92" s="314"/>
      <c r="Q92" s="314"/>
      <c r="R92" s="314"/>
      <c r="S92" s="314"/>
      <c r="T92" s="314"/>
      <c r="U92" s="314"/>
      <c r="V92" s="314"/>
      <c r="W92" s="314"/>
      <c r="X92" s="314"/>
      <c r="Y92" s="314"/>
      <c r="Z92" s="314"/>
      <c r="AA92" s="314"/>
      <c r="AB92" s="314"/>
      <c r="AC92" s="314"/>
      <c r="AD92" s="314"/>
      <c r="AE92" s="314"/>
      <c r="AF92" s="314"/>
      <c r="AG92" s="314"/>
      <c r="AH92" s="314"/>
      <c r="AI92" s="314"/>
      <c r="AJ92" s="212"/>
    </row>
    <row r="93" spans="1:36" x14ac:dyDescent="0.25">
      <c r="A93" s="220"/>
      <c r="B93" s="128" t="str">
        <f>IF(D93&lt;&gt;0,MAX($B$5:B92)+1,"")</f>
        <v/>
      </c>
      <c r="C93" s="191"/>
      <c r="D93" s="162">
        <f>IF(NSTonghop!$E95&lt;&gt;0,0,NSTonghop!F95)</f>
        <v>0</v>
      </c>
      <c r="E93" s="168">
        <f>IF(NSTonghop!$E95&lt;&gt;0,0,NSTonghop!G95)</f>
        <v>0</v>
      </c>
      <c r="F93" s="162">
        <f>IF(NSTonghop!$E95&lt;&gt;0,0,NSTonghop!X95)</f>
        <v>0</v>
      </c>
      <c r="G93" s="162">
        <f>IF(NSTonghop!$E95&lt;&gt;0,0,NSTonghop!Y95)</f>
        <v>0</v>
      </c>
      <c r="H93" s="162">
        <f t="shared" si="14"/>
        <v>0</v>
      </c>
      <c r="I93" s="304"/>
      <c r="J93" s="304"/>
      <c r="K93" s="313"/>
      <c r="L93" s="313"/>
      <c r="M93" s="314"/>
      <c r="N93" s="314"/>
      <c r="O93" s="314"/>
      <c r="P93" s="314"/>
      <c r="Q93" s="314"/>
      <c r="R93" s="314"/>
      <c r="S93" s="314"/>
      <c r="T93" s="314"/>
      <c r="U93" s="314"/>
      <c r="V93" s="314"/>
      <c r="W93" s="314"/>
      <c r="X93" s="314"/>
      <c r="Y93" s="314"/>
      <c r="Z93" s="314"/>
      <c r="AA93" s="314"/>
      <c r="AB93" s="314"/>
      <c r="AC93" s="314"/>
      <c r="AD93" s="314"/>
      <c r="AE93" s="314"/>
      <c r="AF93" s="314"/>
      <c r="AG93" s="314"/>
      <c r="AH93" s="314"/>
      <c r="AI93" s="314"/>
      <c r="AJ93" s="212"/>
    </row>
    <row r="94" spans="1:36" x14ac:dyDescent="0.25">
      <c r="A94" s="220"/>
      <c r="B94" s="128" t="str">
        <f>IF(D94&lt;&gt;0,MAX($B$5:B93)+1,"")</f>
        <v/>
      </c>
      <c r="C94" s="191"/>
      <c r="D94" s="162">
        <f>IF(NSTonghop!$E96&lt;&gt;0,0,NSTonghop!F96)</f>
        <v>0</v>
      </c>
      <c r="E94" s="168">
        <f>IF(NSTonghop!$E96&lt;&gt;0,0,NSTonghop!G96)</f>
        <v>0</v>
      </c>
      <c r="F94" s="162">
        <f>IF(NSTonghop!$E96&lt;&gt;0,0,NSTonghop!X96)</f>
        <v>0</v>
      </c>
      <c r="G94" s="162">
        <f>IF(NSTonghop!$E96&lt;&gt;0,0,NSTonghop!Y96)</f>
        <v>0</v>
      </c>
      <c r="H94" s="162">
        <f t="shared" si="14"/>
        <v>0</v>
      </c>
      <c r="I94" s="304"/>
      <c r="J94" s="304"/>
      <c r="K94" s="313"/>
      <c r="L94" s="313"/>
      <c r="M94" s="314"/>
      <c r="N94" s="314"/>
      <c r="O94" s="314"/>
      <c r="P94" s="314"/>
      <c r="Q94" s="314"/>
      <c r="R94" s="314"/>
      <c r="S94" s="314"/>
      <c r="T94" s="314"/>
      <c r="U94" s="314"/>
      <c r="V94" s="314"/>
      <c r="W94" s="314"/>
      <c r="X94" s="314"/>
      <c r="Y94" s="314"/>
      <c r="Z94" s="314"/>
      <c r="AA94" s="314"/>
      <c r="AB94" s="314"/>
      <c r="AC94" s="314"/>
      <c r="AD94" s="314"/>
      <c r="AE94" s="314"/>
      <c r="AF94" s="314"/>
      <c r="AG94" s="314"/>
      <c r="AH94" s="314"/>
      <c r="AI94" s="314"/>
      <c r="AJ94" s="212"/>
    </row>
    <row r="95" spans="1:36" x14ac:dyDescent="0.25">
      <c r="A95" s="220"/>
      <c r="B95" s="128" t="str">
        <f>IF(D95&lt;&gt;0,MAX($B$5:B94)+1,"")</f>
        <v/>
      </c>
      <c r="C95" s="191"/>
      <c r="D95" s="162">
        <f>IF(NSTonghop!$E97&lt;&gt;0,0,NSTonghop!F97)</f>
        <v>0</v>
      </c>
      <c r="E95" s="168">
        <f>IF(NSTonghop!$E97&lt;&gt;0,0,NSTonghop!G97)</f>
        <v>0</v>
      </c>
      <c r="F95" s="162">
        <f>IF(NSTonghop!$E97&lt;&gt;0,0,NSTonghop!X97)</f>
        <v>0</v>
      </c>
      <c r="G95" s="162">
        <f>IF(NSTonghop!$E97&lt;&gt;0,0,NSTonghop!Y97)</f>
        <v>0</v>
      </c>
      <c r="H95" s="162">
        <f t="shared" si="14"/>
        <v>0</v>
      </c>
      <c r="I95" s="304"/>
      <c r="J95" s="304"/>
      <c r="K95" s="313"/>
      <c r="L95" s="313"/>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212"/>
    </row>
    <row r="96" spans="1:36" x14ac:dyDescent="0.25">
      <c r="A96" s="220"/>
      <c r="B96" s="128" t="str">
        <f>IF(D96&lt;&gt;0,MAX($B$5:B95)+1,"")</f>
        <v/>
      </c>
      <c r="C96" s="191"/>
      <c r="D96" s="162">
        <f>IF(NSTonghop!$E98&lt;&gt;0,0,NSTonghop!F98)</f>
        <v>0</v>
      </c>
      <c r="E96" s="168">
        <f>IF(NSTonghop!$E98&lt;&gt;0,0,NSTonghop!G98)</f>
        <v>0</v>
      </c>
      <c r="F96" s="162">
        <f>IF(NSTonghop!$E98&lt;&gt;0,0,NSTonghop!X98)</f>
        <v>0</v>
      </c>
      <c r="G96" s="162">
        <f>IF(NSTonghop!$E98&lt;&gt;0,0,NSTonghop!Y98)</f>
        <v>0</v>
      </c>
      <c r="H96" s="162">
        <f t="shared" si="14"/>
        <v>0</v>
      </c>
      <c r="I96" s="304"/>
      <c r="J96" s="304"/>
      <c r="K96" s="313"/>
      <c r="L96" s="313"/>
      <c r="M96" s="314"/>
      <c r="N96" s="314"/>
      <c r="O96" s="314"/>
      <c r="P96" s="314"/>
      <c r="Q96" s="314"/>
      <c r="R96" s="314"/>
      <c r="S96" s="314"/>
      <c r="T96" s="314"/>
      <c r="U96" s="314"/>
      <c r="V96" s="314"/>
      <c r="W96" s="314"/>
      <c r="X96" s="314"/>
      <c r="Y96" s="314"/>
      <c r="Z96" s="314"/>
      <c r="AA96" s="314"/>
      <c r="AB96" s="314"/>
      <c r="AC96" s="314"/>
      <c r="AD96" s="314"/>
      <c r="AE96" s="314"/>
      <c r="AF96" s="314"/>
      <c r="AG96" s="314"/>
      <c r="AH96" s="314"/>
      <c r="AI96" s="314"/>
      <c r="AJ96" s="212"/>
    </row>
    <row r="97" spans="1:36" x14ac:dyDescent="0.25">
      <c r="A97" s="220"/>
      <c r="B97" s="128" t="str">
        <f>IF(D97&lt;&gt;0,MAX($B$5:B96)+1,"")</f>
        <v/>
      </c>
      <c r="C97" s="191"/>
      <c r="D97" s="162">
        <f>IF(NSTonghop!$E99&lt;&gt;0,0,NSTonghop!F99)</f>
        <v>0</v>
      </c>
      <c r="E97" s="168">
        <f>IF(NSTonghop!$E99&lt;&gt;0,0,NSTonghop!G99)</f>
        <v>0</v>
      </c>
      <c r="F97" s="162">
        <f>IF(NSTonghop!$E99&lt;&gt;0,0,NSTonghop!X99)</f>
        <v>0</v>
      </c>
      <c r="G97" s="162">
        <f>IF(NSTonghop!$E99&lt;&gt;0,0,NSTonghop!Y99)</f>
        <v>0</v>
      </c>
      <c r="H97" s="162">
        <f t="shared" si="14"/>
        <v>0</v>
      </c>
      <c r="I97" s="304"/>
      <c r="J97" s="304"/>
      <c r="K97" s="313"/>
      <c r="L97" s="313"/>
      <c r="M97" s="314"/>
      <c r="N97" s="314"/>
      <c r="O97" s="314"/>
      <c r="P97" s="314"/>
      <c r="Q97" s="314"/>
      <c r="R97" s="314"/>
      <c r="S97" s="314"/>
      <c r="T97" s="314"/>
      <c r="U97" s="314"/>
      <c r="V97" s="314"/>
      <c r="W97" s="314"/>
      <c r="X97" s="314"/>
      <c r="Y97" s="314"/>
      <c r="Z97" s="314"/>
      <c r="AA97" s="314"/>
      <c r="AB97" s="314"/>
      <c r="AC97" s="314"/>
      <c r="AD97" s="314"/>
      <c r="AE97" s="314"/>
      <c r="AF97" s="314"/>
      <c r="AG97" s="314"/>
      <c r="AH97" s="314"/>
      <c r="AI97" s="314"/>
      <c r="AJ97" s="212"/>
    </row>
    <row r="98" spans="1:36" x14ac:dyDescent="0.25">
      <c r="A98" s="220"/>
      <c r="B98" s="128" t="str">
        <f>IF(D98&lt;&gt;0,MAX($B$5:B97)+1,"")</f>
        <v/>
      </c>
      <c r="C98" s="191"/>
      <c r="D98" s="162">
        <f>IF(NSTonghop!$E100&lt;&gt;0,0,NSTonghop!F100)</f>
        <v>0</v>
      </c>
      <c r="E98" s="168">
        <f>IF(NSTonghop!$E100&lt;&gt;0,0,NSTonghop!G100)</f>
        <v>0</v>
      </c>
      <c r="F98" s="162">
        <f>IF(NSTonghop!$E100&lt;&gt;0,0,NSTonghop!X100)</f>
        <v>0</v>
      </c>
      <c r="G98" s="162">
        <f>IF(NSTonghop!$E100&lt;&gt;0,0,NSTonghop!Y100)</f>
        <v>0</v>
      </c>
      <c r="H98" s="162">
        <f t="shared" si="14"/>
        <v>0</v>
      </c>
      <c r="I98" s="304"/>
      <c r="J98" s="304"/>
      <c r="K98" s="313"/>
      <c r="L98" s="313"/>
      <c r="M98" s="314"/>
      <c r="N98" s="314"/>
      <c r="O98" s="314"/>
      <c r="P98" s="314"/>
      <c r="Q98" s="314"/>
      <c r="R98" s="314"/>
      <c r="S98" s="314"/>
      <c r="T98" s="314"/>
      <c r="U98" s="314"/>
      <c r="V98" s="314"/>
      <c r="W98" s="314"/>
      <c r="X98" s="314"/>
      <c r="Y98" s="314"/>
      <c r="Z98" s="314"/>
      <c r="AA98" s="314"/>
      <c r="AB98" s="314"/>
      <c r="AC98" s="314"/>
      <c r="AD98" s="314"/>
      <c r="AE98" s="314"/>
      <c r="AF98" s="314"/>
      <c r="AG98" s="314"/>
      <c r="AH98" s="314"/>
      <c r="AI98" s="314"/>
      <c r="AJ98" s="212"/>
    </row>
    <row r="99" spans="1:36" x14ac:dyDescent="0.25">
      <c r="A99" s="220"/>
      <c r="B99" s="128" t="str">
        <f>IF(D99&lt;&gt;0,MAX($B$5:B98)+1,"")</f>
        <v/>
      </c>
      <c r="C99" s="191"/>
      <c r="D99" s="162">
        <f>IF(NSTonghop!$E101&lt;&gt;0,0,NSTonghop!F101)</f>
        <v>0</v>
      </c>
      <c r="E99" s="168">
        <f>IF(NSTonghop!$E101&lt;&gt;0,0,NSTonghop!G101)</f>
        <v>0</v>
      </c>
      <c r="F99" s="162">
        <f>IF(NSTonghop!$E101&lt;&gt;0,0,NSTonghop!X101)</f>
        <v>0</v>
      </c>
      <c r="G99" s="162">
        <f>IF(NSTonghop!$E101&lt;&gt;0,0,NSTonghop!Y101)</f>
        <v>0</v>
      </c>
      <c r="H99" s="162">
        <f t="shared" si="14"/>
        <v>0</v>
      </c>
      <c r="I99" s="304"/>
      <c r="J99" s="304"/>
      <c r="K99" s="313"/>
      <c r="L99" s="313"/>
      <c r="M99" s="314"/>
      <c r="N99" s="314"/>
      <c r="O99" s="314"/>
      <c r="P99" s="314"/>
      <c r="Q99" s="314"/>
      <c r="R99" s="314"/>
      <c r="S99" s="314"/>
      <c r="T99" s="314"/>
      <c r="U99" s="314"/>
      <c r="V99" s="314"/>
      <c r="W99" s="314"/>
      <c r="X99" s="314"/>
      <c r="Y99" s="314"/>
      <c r="Z99" s="314"/>
      <c r="AA99" s="314"/>
      <c r="AB99" s="314"/>
      <c r="AC99" s="314"/>
      <c r="AD99" s="314"/>
      <c r="AE99" s="314"/>
      <c r="AF99" s="314"/>
      <c r="AG99" s="314"/>
      <c r="AH99" s="314"/>
      <c r="AI99" s="314"/>
      <c r="AJ99" s="212"/>
    </row>
    <row r="100" spans="1:36" x14ac:dyDescent="0.25">
      <c r="A100" s="220"/>
      <c r="B100" s="128" t="str">
        <f>IF(D100&lt;&gt;0,MAX($B$5:B99)+1,"")</f>
        <v/>
      </c>
      <c r="C100" s="191"/>
      <c r="D100" s="162">
        <f>IF(NSTonghop!$E102&lt;&gt;0,0,NSTonghop!F102)</f>
        <v>0</v>
      </c>
      <c r="E100" s="168">
        <f>IF(NSTonghop!$E102&lt;&gt;0,0,NSTonghop!G102)</f>
        <v>0</v>
      </c>
      <c r="F100" s="162">
        <f>IF(NSTonghop!$E102&lt;&gt;0,0,NSTonghop!X102)</f>
        <v>0</v>
      </c>
      <c r="G100" s="162">
        <f>IF(NSTonghop!$E102&lt;&gt;0,0,NSTonghop!Y102)</f>
        <v>0</v>
      </c>
      <c r="H100" s="162">
        <f t="shared" si="14"/>
        <v>0</v>
      </c>
      <c r="I100" s="304"/>
      <c r="J100" s="304"/>
      <c r="K100" s="313"/>
      <c r="L100" s="313"/>
      <c r="M100" s="314"/>
      <c r="N100" s="314"/>
      <c r="O100" s="314"/>
      <c r="P100" s="314"/>
      <c r="Q100" s="314"/>
      <c r="R100" s="314"/>
      <c r="S100" s="314"/>
      <c r="T100" s="314"/>
      <c r="U100" s="314"/>
      <c r="V100" s="314"/>
      <c r="W100" s="314"/>
      <c r="X100" s="314"/>
      <c r="Y100" s="314"/>
      <c r="Z100" s="314"/>
      <c r="AA100" s="314"/>
      <c r="AB100" s="314"/>
      <c r="AC100" s="314"/>
      <c r="AD100" s="314"/>
      <c r="AE100" s="314"/>
      <c r="AF100" s="314"/>
      <c r="AG100" s="314"/>
      <c r="AH100" s="314"/>
      <c r="AI100" s="314"/>
      <c r="AJ100" s="212"/>
    </row>
    <row r="101" spans="1:36" x14ac:dyDescent="0.25">
      <c r="A101" s="220"/>
      <c r="B101" s="128" t="str">
        <f>IF(D101&lt;&gt;0,MAX($B$5:B100)+1,"")</f>
        <v/>
      </c>
      <c r="C101" s="191"/>
      <c r="D101" s="162">
        <f>IF(NSTonghop!$E103&lt;&gt;0,0,NSTonghop!F103)</f>
        <v>0</v>
      </c>
      <c r="E101" s="168">
        <f>IF(NSTonghop!$E103&lt;&gt;0,0,NSTonghop!G103)</f>
        <v>0</v>
      </c>
      <c r="F101" s="162">
        <f>IF(NSTonghop!$E103&lt;&gt;0,0,NSTonghop!X103)</f>
        <v>0</v>
      </c>
      <c r="G101" s="162">
        <f>IF(NSTonghop!$E103&lt;&gt;0,0,NSTonghop!Y103)</f>
        <v>0</v>
      </c>
      <c r="H101" s="162">
        <f t="shared" si="14"/>
        <v>0</v>
      </c>
      <c r="I101" s="304"/>
      <c r="J101" s="304"/>
      <c r="K101" s="313"/>
      <c r="L101" s="313"/>
      <c r="M101" s="314"/>
      <c r="N101" s="314"/>
      <c r="O101" s="314"/>
      <c r="P101" s="314"/>
      <c r="Q101" s="314"/>
      <c r="R101" s="314"/>
      <c r="S101" s="314"/>
      <c r="T101" s="314"/>
      <c r="U101" s="314"/>
      <c r="V101" s="314"/>
      <c r="W101" s="314"/>
      <c r="X101" s="314"/>
      <c r="Y101" s="314"/>
      <c r="Z101" s="314"/>
      <c r="AA101" s="314"/>
      <c r="AB101" s="314"/>
      <c r="AC101" s="314"/>
      <c r="AD101" s="314"/>
      <c r="AE101" s="314"/>
      <c r="AF101" s="314"/>
      <c r="AG101" s="314"/>
      <c r="AH101" s="314"/>
      <c r="AI101" s="314"/>
      <c r="AJ101" s="212"/>
    </row>
    <row r="102" spans="1:36" x14ac:dyDescent="0.25">
      <c r="A102" s="220"/>
      <c r="B102" s="128" t="str">
        <f>IF(D102&lt;&gt;0,MAX($B$5:B101)+1,"")</f>
        <v/>
      </c>
      <c r="C102" s="191"/>
      <c r="D102" s="162">
        <f>IF(NSTonghop!$E104&lt;&gt;0,0,NSTonghop!F104)</f>
        <v>0</v>
      </c>
      <c r="E102" s="168">
        <f>IF(NSTonghop!$E104&lt;&gt;0,0,NSTonghop!G104)</f>
        <v>0</v>
      </c>
      <c r="F102" s="162">
        <f>IF(NSTonghop!$E104&lt;&gt;0,0,NSTonghop!X104)</f>
        <v>0</v>
      </c>
      <c r="G102" s="162">
        <f>IF(NSTonghop!$E104&lt;&gt;0,0,NSTonghop!Y104)</f>
        <v>0</v>
      </c>
      <c r="H102" s="162">
        <f t="shared" si="14"/>
        <v>0</v>
      </c>
      <c r="I102" s="304"/>
      <c r="J102" s="304"/>
      <c r="K102" s="313"/>
      <c r="L102" s="313"/>
      <c r="M102" s="314"/>
      <c r="N102" s="314"/>
      <c r="O102" s="314"/>
      <c r="P102" s="314"/>
      <c r="Q102" s="314"/>
      <c r="R102" s="314"/>
      <c r="S102" s="314"/>
      <c r="T102" s="314"/>
      <c r="U102" s="314"/>
      <c r="V102" s="314"/>
      <c r="W102" s="314"/>
      <c r="X102" s="314"/>
      <c r="Y102" s="314"/>
      <c r="Z102" s="314"/>
      <c r="AA102" s="314"/>
      <c r="AB102" s="314"/>
      <c r="AC102" s="314"/>
      <c r="AD102" s="314"/>
      <c r="AE102" s="314"/>
      <c r="AF102" s="314"/>
      <c r="AG102" s="314"/>
      <c r="AH102" s="314"/>
      <c r="AI102" s="314"/>
      <c r="AJ102" s="212"/>
    </row>
    <row r="103" spans="1:36" x14ac:dyDescent="0.25">
      <c r="A103" s="220"/>
      <c r="B103" s="128" t="str">
        <f>IF(D103&lt;&gt;0,MAX($B$5:B102)+1,"")</f>
        <v/>
      </c>
      <c r="C103" s="191"/>
      <c r="D103" s="162">
        <f>IF(NSTonghop!$E105&lt;&gt;0,0,NSTonghop!F105)</f>
        <v>0</v>
      </c>
      <c r="E103" s="168">
        <f>IF(NSTonghop!$E105&lt;&gt;0,0,NSTonghop!G105)</f>
        <v>0</v>
      </c>
      <c r="F103" s="162">
        <f>IF(NSTonghop!$E105&lt;&gt;0,0,NSTonghop!X105)</f>
        <v>0</v>
      </c>
      <c r="G103" s="162">
        <f>IF(NSTonghop!$E105&lt;&gt;0,0,NSTonghop!Y105)</f>
        <v>0</v>
      </c>
      <c r="H103" s="162">
        <f t="shared" si="14"/>
        <v>0</v>
      </c>
      <c r="I103" s="304"/>
      <c r="J103" s="304"/>
      <c r="K103" s="313"/>
      <c r="L103" s="313"/>
      <c r="M103" s="314"/>
      <c r="N103" s="314"/>
      <c r="O103" s="314"/>
      <c r="P103" s="314"/>
      <c r="Q103" s="314"/>
      <c r="R103" s="314"/>
      <c r="S103" s="314"/>
      <c r="T103" s="314"/>
      <c r="U103" s="314"/>
      <c r="V103" s="314"/>
      <c r="W103" s="314"/>
      <c r="X103" s="314"/>
      <c r="Y103" s="314"/>
      <c r="Z103" s="314"/>
      <c r="AA103" s="314"/>
      <c r="AB103" s="314"/>
      <c r="AC103" s="314"/>
      <c r="AD103" s="314"/>
      <c r="AE103" s="314"/>
      <c r="AF103" s="314"/>
      <c r="AG103" s="314"/>
      <c r="AH103" s="314"/>
      <c r="AI103" s="314"/>
      <c r="AJ103" s="212"/>
    </row>
    <row r="104" spans="1:36" x14ac:dyDescent="0.25">
      <c r="A104" s="220"/>
      <c r="B104" s="128" t="str">
        <f>IF(D104&lt;&gt;0,MAX($B$5:B103)+1,"")</f>
        <v/>
      </c>
      <c r="C104" s="191"/>
      <c r="D104" s="162">
        <f>IF(NSTonghop!$E106&lt;&gt;0,0,NSTonghop!F106)</f>
        <v>0</v>
      </c>
      <c r="E104" s="168">
        <f>IF(NSTonghop!$E106&lt;&gt;0,0,NSTonghop!G106)</f>
        <v>0</v>
      </c>
      <c r="F104" s="162">
        <f>IF(NSTonghop!$E106&lt;&gt;0,0,NSTonghop!X106)</f>
        <v>0</v>
      </c>
      <c r="G104" s="162">
        <f>IF(NSTonghop!$E106&lt;&gt;0,0,NSTonghop!Y106)</f>
        <v>0</v>
      </c>
      <c r="H104" s="173">
        <f t="shared" si="14"/>
        <v>0</v>
      </c>
      <c r="I104" s="304"/>
      <c r="J104" s="304"/>
      <c r="K104" s="313"/>
      <c r="L104" s="313"/>
      <c r="M104" s="314"/>
      <c r="N104" s="314"/>
      <c r="O104" s="314"/>
      <c r="P104" s="314"/>
      <c r="Q104" s="314"/>
      <c r="R104" s="314"/>
      <c r="S104" s="314"/>
      <c r="T104" s="314"/>
      <c r="U104" s="314"/>
      <c r="V104" s="314"/>
      <c r="W104" s="314"/>
      <c r="X104" s="314"/>
      <c r="Y104" s="314"/>
      <c r="Z104" s="314"/>
      <c r="AA104" s="314"/>
      <c r="AB104" s="314"/>
      <c r="AC104" s="314"/>
      <c r="AD104" s="314"/>
      <c r="AE104" s="314"/>
      <c r="AF104" s="314"/>
      <c r="AG104" s="314"/>
      <c r="AH104" s="314"/>
      <c r="AI104" s="314"/>
      <c r="AJ104" s="212"/>
    </row>
    <row r="105" spans="1:36" x14ac:dyDescent="0.25">
      <c r="A105" s="220"/>
      <c r="B105" s="256"/>
      <c r="C105" s="257"/>
      <c r="D105" s="256" t="s">
        <v>41</v>
      </c>
      <c r="E105" s="259">
        <f>COUNTIF(E13:E104,"x")</f>
        <v>39</v>
      </c>
      <c r="F105" s="256"/>
      <c r="G105" s="256"/>
      <c r="H105" s="306"/>
      <c r="I105" s="306"/>
      <c r="J105" s="306"/>
      <c r="K105" s="306"/>
      <c r="L105" s="306"/>
      <c r="M105" s="306"/>
      <c r="N105" s="306"/>
      <c r="O105" s="306"/>
      <c r="P105" s="306"/>
      <c r="Q105" s="306"/>
      <c r="R105" s="306"/>
      <c r="S105" s="306"/>
      <c r="T105" s="306"/>
      <c r="U105" s="306"/>
      <c r="V105" s="306"/>
      <c r="W105" s="306"/>
      <c r="X105" s="306"/>
      <c r="Y105" s="306"/>
      <c r="Z105" s="306"/>
      <c r="AA105" s="306"/>
      <c r="AB105" s="306"/>
      <c r="AC105" s="306"/>
      <c r="AD105" s="306"/>
      <c r="AE105" s="306"/>
      <c r="AF105" s="306"/>
      <c r="AG105" s="306"/>
      <c r="AH105" s="306"/>
      <c r="AI105" s="306"/>
      <c r="AJ105" s="212"/>
    </row>
    <row r="106" spans="1:36" ht="7.5" customHeight="1" x14ac:dyDescent="0.25">
      <c r="A106" s="221"/>
      <c r="B106" s="222"/>
      <c r="C106" s="222"/>
      <c r="D106" s="222"/>
      <c r="E106" s="309"/>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3"/>
    </row>
    <row r="107" spans="1:36" x14ac:dyDescent="0.25">
      <c r="B107" s="115" t="str">
        <f>IF(D107="","",MAX($B106:B106)+1)</f>
        <v/>
      </c>
    </row>
  </sheetData>
  <autoFilter ref="B4:AJ105"/>
  <dataConsolidate/>
  <mergeCells count="25">
    <mergeCell ref="AL2:AL3"/>
    <mergeCell ref="AF2:AF3"/>
    <mergeCell ref="AB2:AB3"/>
    <mergeCell ref="AG2:AI2"/>
    <mergeCell ref="AC2:AC3"/>
    <mergeCell ref="AE2:AE3"/>
    <mergeCell ref="Q2:U2"/>
    <mergeCell ref="L39:P39"/>
    <mergeCell ref="L40:P40"/>
    <mergeCell ref="AA2:AA3"/>
    <mergeCell ref="AD2:AD3"/>
    <mergeCell ref="V2:Z2"/>
    <mergeCell ref="L41:P41"/>
    <mergeCell ref="L42:P42"/>
    <mergeCell ref="L43:P43"/>
    <mergeCell ref="B2:B3"/>
    <mergeCell ref="C2:C3"/>
    <mergeCell ref="D2:D3"/>
    <mergeCell ref="E2:E3"/>
    <mergeCell ref="F2:F3"/>
    <mergeCell ref="G2:G3"/>
    <mergeCell ref="L2:P2"/>
    <mergeCell ref="H2:J2"/>
    <mergeCell ref="K2:K3"/>
    <mergeCell ref="L38:P38"/>
  </mergeCells>
  <conditionalFormatting sqref="D18:H104 P45 L45 L38 D105:K105 L44:P44 L46:P47 I36:K104 D15:P17 Q15:Y35 D14:Y14 AD44:AI46 L48:Z48 AA47:AI105 P49:Z58 L59:Z65 N66:Z72 L36:Z37 L73:Z105 U47:Z47 Q38:T38 I13:Y13 K14:K17 Q47 S39:S46 I18:P35 U44:U46 X44:Y46 Q38:R46 AA13:AI37">
    <cfRule type="containsText" dxfId="2" priority="28" operator="containsText" text="x">
      <formula>NOT(ISERROR(SEARCH("x",D13)))</formula>
    </cfRule>
  </conditionalFormatting>
  <conditionalFormatting sqref="D5">
    <cfRule type="containsText" dxfId="1" priority="3" operator="containsText" text="x">
      <formula>NOT(ISERROR(SEARCH("x",D5)))</formula>
    </cfRule>
  </conditionalFormatting>
  <conditionalFormatting sqref="D6:H13">
    <cfRule type="containsText" dxfId="0" priority="1" operator="containsText" text="x">
      <formula>NOT(ISERROR(SEARCH("x",D6)))</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7"/>
  <sheetViews>
    <sheetView showZeros="0" topLeftCell="A13" workbookViewId="0">
      <selection activeCell="L9" sqref="L9"/>
    </sheetView>
  </sheetViews>
  <sheetFormatPr defaultRowHeight="15" x14ac:dyDescent="0.25"/>
  <cols>
    <col min="1" max="1" width="7.7109375" customWidth="1"/>
    <col min="2" max="2" width="11.28515625" customWidth="1"/>
    <col min="3" max="3" width="21.28515625" customWidth="1"/>
    <col min="4" max="14" width="5.85546875" customWidth="1"/>
    <col min="15" max="15" width="6.5703125" customWidth="1"/>
    <col min="16" max="16" width="6.85546875" customWidth="1"/>
    <col min="17" max="17" width="6.42578125" customWidth="1"/>
    <col min="18" max="21" width="5.85546875" customWidth="1"/>
    <col min="23" max="39" width="3.85546875" customWidth="1"/>
  </cols>
  <sheetData>
    <row r="1" spans="1:21" x14ac:dyDescent="0.25">
      <c r="A1" s="889" t="s">
        <v>1235</v>
      </c>
      <c r="B1" s="890"/>
      <c r="C1" s="890"/>
      <c r="D1" s="891" t="s">
        <v>1188</v>
      </c>
      <c r="E1" s="891"/>
      <c r="F1" s="891"/>
      <c r="G1" s="891"/>
      <c r="H1" s="891"/>
      <c r="I1" s="891"/>
      <c r="J1" s="891"/>
      <c r="K1" s="891"/>
      <c r="L1" s="891"/>
      <c r="M1" s="891"/>
      <c r="N1" s="891"/>
      <c r="O1" s="891"/>
      <c r="P1" s="891"/>
    </row>
    <row r="2" spans="1:21" x14ac:dyDescent="0.25">
      <c r="A2" s="891" t="s">
        <v>1189</v>
      </c>
      <c r="B2" s="891"/>
      <c r="C2" s="891"/>
      <c r="D2" s="891" t="s">
        <v>1252</v>
      </c>
      <c r="E2" s="891"/>
      <c r="F2" s="891"/>
      <c r="G2" s="891"/>
      <c r="H2" s="891"/>
      <c r="I2" s="891"/>
      <c r="J2" s="891"/>
      <c r="K2" s="891"/>
      <c r="L2" s="891"/>
      <c r="M2" s="891"/>
      <c r="N2" s="891"/>
      <c r="O2" s="891"/>
      <c r="P2" s="891"/>
    </row>
    <row r="3" spans="1:21" x14ac:dyDescent="0.25">
      <c r="A3" s="890"/>
      <c r="B3" s="890"/>
      <c r="C3" s="890"/>
      <c r="D3" s="890"/>
      <c r="E3" s="890"/>
      <c r="F3" s="890"/>
      <c r="G3" s="890"/>
      <c r="H3" s="890"/>
      <c r="I3" s="890"/>
      <c r="J3" s="890"/>
      <c r="K3" s="890"/>
      <c r="L3" s="890"/>
      <c r="M3" s="890"/>
      <c r="N3" s="890"/>
      <c r="O3" s="890"/>
      <c r="P3" s="890"/>
    </row>
    <row r="4" spans="1:21" ht="24" customHeight="1" x14ac:dyDescent="0.25">
      <c r="B4" s="485"/>
      <c r="D4" s="892" t="s">
        <v>1321</v>
      </c>
      <c r="E4" s="893"/>
      <c r="F4" s="893"/>
      <c r="G4" s="893"/>
      <c r="H4" s="893"/>
      <c r="I4" s="893"/>
      <c r="J4" s="893"/>
      <c r="K4" s="893"/>
      <c r="L4" s="893"/>
      <c r="M4" s="893"/>
      <c r="N4" s="893"/>
      <c r="O4" s="893"/>
      <c r="P4" s="893"/>
      <c r="Q4" s="893"/>
      <c r="R4" s="893"/>
      <c r="S4" s="893"/>
      <c r="T4" s="893"/>
      <c r="U4" s="893"/>
    </row>
    <row r="5" spans="1:21" x14ac:dyDescent="0.25">
      <c r="A5" s="894" t="s">
        <v>1292</v>
      </c>
      <c r="B5" s="895" t="s">
        <v>1293</v>
      </c>
      <c r="C5" s="896"/>
      <c r="D5" s="894" t="s">
        <v>1294</v>
      </c>
      <c r="E5" s="894"/>
      <c r="F5" s="894"/>
      <c r="G5" s="894"/>
      <c r="H5" s="894"/>
      <c r="I5" s="894"/>
      <c r="J5" s="894"/>
      <c r="K5" s="894"/>
      <c r="L5" s="894"/>
      <c r="M5" s="567"/>
    </row>
    <row r="6" spans="1:21" x14ac:dyDescent="0.25">
      <c r="A6" s="894"/>
      <c r="B6" s="897"/>
      <c r="C6" s="898"/>
      <c r="D6" s="894" t="s">
        <v>1194</v>
      </c>
      <c r="E6" s="894"/>
      <c r="F6" s="894" t="s">
        <v>1195</v>
      </c>
      <c r="G6" s="894"/>
      <c r="H6" s="894" t="s">
        <v>1196</v>
      </c>
      <c r="I6" s="894"/>
      <c r="J6" s="894" t="s">
        <v>1197</v>
      </c>
      <c r="K6" s="894"/>
      <c r="L6" s="894" t="s">
        <v>41</v>
      </c>
      <c r="M6" s="894"/>
    </row>
    <row r="7" spans="1:21" x14ac:dyDescent="0.25">
      <c r="A7" s="894"/>
      <c r="B7" s="899"/>
      <c r="C7" s="900"/>
      <c r="D7" s="567" t="s">
        <v>1205</v>
      </c>
      <c r="E7" s="567" t="s">
        <v>1295</v>
      </c>
      <c r="F7" s="567" t="s">
        <v>1205</v>
      </c>
      <c r="G7" s="567" t="s">
        <v>1295</v>
      </c>
      <c r="H7" s="567" t="s">
        <v>1205</v>
      </c>
      <c r="I7" s="567" t="s">
        <v>1295</v>
      </c>
      <c r="J7" s="567" t="s">
        <v>1205</v>
      </c>
      <c r="K7" s="567" t="s">
        <v>1295</v>
      </c>
      <c r="L7" s="567" t="s">
        <v>1205</v>
      </c>
      <c r="M7" s="567" t="s">
        <v>1295</v>
      </c>
    </row>
    <row r="8" spans="1:21" x14ac:dyDescent="0.25">
      <c r="A8" s="567" t="s">
        <v>531</v>
      </c>
      <c r="B8" s="901" t="s">
        <v>1328</v>
      </c>
      <c r="C8" s="902"/>
      <c r="D8" s="597">
        <f>DulieuXDKH!R39</f>
        <v>10</v>
      </c>
      <c r="E8" s="627">
        <f>KHPTrien!D18</f>
        <v>419</v>
      </c>
      <c r="F8" s="597">
        <f>DulieuXDKH!R40</f>
        <v>9</v>
      </c>
      <c r="G8" s="627">
        <f>KHPTrien!E18</f>
        <v>393</v>
      </c>
      <c r="H8" s="597">
        <f>DulieuXDKH!R41</f>
        <v>9</v>
      </c>
      <c r="I8" s="627">
        <f>KHPTrien!F18</f>
        <v>342</v>
      </c>
      <c r="J8" s="597">
        <f>DulieuXDKH!R42</f>
        <v>8</v>
      </c>
      <c r="K8" s="627">
        <f>KHPTrien!G18</f>
        <v>295</v>
      </c>
      <c r="L8" s="598">
        <f>SUM(J8,H8,F8,D8)</f>
        <v>36</v>
      </c>
      <c r="M8" s="628">
        <f>SUM(K8,I8,G8,E8)</f>
        <v>1449</v>
      </c>
    </row>
    <row r="9" spans="1:21" x14ac:dyDescent="0.25">
      <c r="A9" s="567" t="s">
        <v>532</v>
      </c>
      <c r="B9" s="901" t="s">
        <v>1322</v>
      </c>
      <c r="C9" s="902"/>
      <c r="D9" s="598">
        <v>9</v>
      </c>
      <c r="E9" s="598">
        <v>412</v>
      </c>
      <c r="F9" s="598">
        <v>9</v>
      </c>
      <c r="G9" s="598">
        <v>353</v>
      </c>
      <c r="H9" s="598">
        <v>8</v>
      </c>
      <c r="I9" s="598">
        <v>302</v>
      </c>
      <c r="J9" s="598">
        <v>7</v>
      </c>
      <c r="K9" s="598">
        <v>263</v>
      </c>
      <c r="L9" s="598">
        <f>SUM(J9,H9,F9,D9)</f>
        <v>33</v>
      </c>
      <c r="M9" s="598">
        <f>SUM(K9,I9,G9,E9)</f>
        <v>1330</v>
      </c>
    </row>
    <row r="11" spans="1:21" x14ac:dyDescent="0.25">
      <c r="A11" s="894" t="s">
        <v>1296</v>
      </c>
      <c r="B11" s="903" t="s">
        <v>1297</v>
      </c>
      <c r="C11" s="903"/>
      <c r="D11" s="894" t="s">
        <v>1298</v>
      </c>
      <c r="E11" s="894"/>
      <c r="F11" s="894"/>
      <c r="G11" s="894"/>
      <c r="H11" s="894"/>
      <c r="I11" s="894"/>
      <c r="J11" s="894"/>
      <c r="K11" s="894"/>
      <c r="L11" s="894"/>
      <c r="M11" s="894"/>
      <c r="N11" s="894"/>
      <c r="O11" s="894"/>
      <c r="P11" s="894"/>
      <c r="Q11" s="894"/>
      <c r="R11" s="894"/>
      <c r="S11" s="894"/>
      <c r="T11" s="894"/>
      <c r="U11" s="894"/>
    </row>
    <row r="12" spans="1:21" x14ac:dyDescent="0.25">
      <c r="A12" s="894"/>
      <c r="B12" s="903"/>
      <c r="C12" s="903"/>
      <c r="D12" s="903" t="s">
        <v>1299</v>
      </c>
      <c r="E12" s="894" t="s">
        <v>1300</v>
      </c>
      <c r="F12" s="894"/>
      <c r="G12" s="894"/>
      <c r="H12" s="894"/>
      <c r="I12" s="894"/>
      <c r="J12" s="894"/>
      <c r="K12" s="894"/>
      <c r="L12" s="894"/>
      <c r="M12" s="894"/>
      <c r="N12" s="894"/>
      <c r="O12" s="894"/>
      <c r="P12" s="894"/>
      <c r="Q12" s="894"/>
      <c r="R12" s="894"/>
      <c r="S12" s="894"/>
      <c r="T12" s="894"/>
      <c r="U12" s="894"/>
    </row>
    <row r="13" spans="1:21" x14ac:dyDescent="0.25">
      <c r="A13" s="894"/>
      <c r="B13" s="903"/>
      <c r="C13" s="903"/>
      <c r="D13" s="903"/>
      <c r="E13" s="599" t="s">
        <v>946</v>
      </c>
      <c r="F13" s="599" t="s">
        <v>948</v>
      </c>
      <c r="G13" s="599" t="s">
        <v>949</v>
      </c>
      <c r="H13" s="599" t="s">
        <v>1054</v>
      </c>
      <c r="I13" s="599" t="s">
        <v>1262</v>
      </c>
      <c r="J13" s="599" t="s">
        <v>1263</v>
      </c>
      <c r="K13" s="599" t="s">
        <v>944</v>
      </c>
      <c r="L13" s="599" t="s">
        <v>943</v>
      </c>
      <c r="M13" s="599" t="s">
        <v>947</v>
      </c>
      <c r="N13" s="599" t="s">
        <v>953</v>
      </c>
      <c r="O13" s="600" t="s">
        <v>1060</v>
      </c>
      <c r="P13" s="600" t="s">
        <v>1061</v>
      </c>
      <c r="Q13" s="599" t="s">
        <v>1062</v>
      </c>
      <c r="R13" s="599" t="s">
        <v>951</v>
      </c>
      <c r="S13" s="599" t="s">
        <v>1270</v>
      </c>
      <c r="T13" s="600" t="s">
        <v>954</v>
      </c>
      <c r="U13" s="599" t="s">
        <v>955</v>
      </c>
    </row>
    <row r="14" spans="1:21" ht="15" customHeight="1" x14ac:dyDescent="0.25">
      <c r="A14" s="904" t="s">
        <v>531</v>
      </c>
      <c r="B14" s="907" t="s">
        <v>1301</v>
      </c>
      <c r="C14" s="601" t="s">
        <v>1302</v>
      </c>
      <c r="D14" s="602">
        <f t="shared" ref="D14:D38" si="0">SUM(E14:U14)</f>
        <v>3</v>
      </c>
      <c r="E14" s="633"/>
      <c r="F14" s="633"/>
      <c r="G14" s="637"/>
      <c r="H14" s="633"/>
      <c r="I14" s="633"/>
      <c r="J14" s="633"/>
      <c r="K14" s="634">
        <v>1</v>
      </c>
      <c r="L14" s="634">
        <v>1</v>
      </c>
      <c r="M14" s="633"/>
      <c r="N14" s="633"/>
      <c r="O14" s="633"/>
      <c r="P14" s="633"/>
      <c r="Q14" s="633"/>
      <c r="R14" s="633"/>
      <c r="S14" s="634">
        <v>1</v>
      </c>
      <c r="T14" s="633"/>
      <c r="U14" s="633"/>
    </row>
    <row r="15" spans="1:21" x14ac:dyDescent="0.25">
      <c r="A15" s="905"/>
      <c r="B15" s="908"/>
      <c r="C15" s="603" t="s">
        <v>1303</v>
      </c>
      <c r="D15" s="602">
        <f t="shared" ref="D15" si="1">SUM(E15:U15)</f>
        <v>63</v>
      </c>
      <c r="E15" s="602">
        <f>DulieuXDKH!K13</f>
        <v>10</v>
      </c>
      <c r="F15" s="602">
        <f>DulieuXDKH!K14</f>
        <v>4</v>
      </c>
      <c r="G15" s="602">
        <f>DulieuXDKH!K15</f>
        <v>4</v>
      </c>
      <c r="H15" s="602">
        <f>DulieuXDKH!K16</f>
        <v>2</v>
      </c>
      <c r="I15" s="602">
        <f>DulieuXDKH!K17</f>
        <v>6</v>
      </c>
      <c r="J15" s="602">
        <f>DulieuXDKH!K18</f>
        <v>0</v>
      </c>
      <c r="K15" s="602">
        <f>DulieuXDKH!K19</f>
        <v>10</v>
      </c>
      <c r="L15" s="602">
        <f>DulieuXDKH!K20</f>
        <v>5</v>
      </c>
      <c r="M15" s="602">
        <f>DulieuXDKH!K21</f>
        <v>3</v>
      </c>
      <c r="N15" s="602">
        <f>DulieuXDKH!K22</f>
        <v>4</v>
      </c>
      <c r="O15" s="602">
        <f>DulieuXDKH!K23</f>
        <v>1</v>
      </c>
      <c r="P15" s="602">
        <f>DulieuXDKH!K24</f>
        <v>2</v>
      </c>
      <c r="Q15" s="602">
        <f>DulieuXDKH!K25</f>
        <v>1</v>
      </c>
      <c r="R15" s="602">
        <f>DulieuXDKH!K26</f>
        <v>3</v>
      </c>
      <c r="S15" s="602">
        <f>DulieuXDKH!K27</f>
        <v>4</v>
      </c>
      <c r="T15" s="602">
        <f>DulieuXDKH!K28</f>
        <v>2</v>
      </c>
      <c r="U15" s="602">
        <f>DulieuXDKH!K29</f>
        <v>2</v>
      </c>
    </row>
    <row r="16" spans="1:21" x14ac:dyDescent="0.25">
      <c r="A16" s="905"/>
      <c r="B16" s="908"/>
      <c r="C16" s="603" t="s">
        <v>1304</v>
      </c>
      <c r="D16" s="602">
        <f t="shared" ref="D16" si="2">SUM(E16:U16)</f>
        <v>1</v>
      </c>
      <c r="E16" s="634">
        <v>1</v>
      </c>
      <c r="F16" s="602"/>
      <c r="G16" s="602"/>
      <c r="H16" s="602"/>
      <c r="I16" s="602"/>
      <c r="J16" s="602"/>
      <c r="K16" s="602"/>
      <c r="L16" s="602"/>
      <c r="M16" s="602"/>
      <c r="N16" s="602"/>
      <c r="O16" s="602"/>
      <c r="P16" s="602"/>
      <c r="Q16" s="602"/>
      <c r="R16" s="602"/>
      <c r="S16" s="602"/>
      <c r="T16" s="602"/>
      <c r="U16" s="602"/>
    </row>
    <row r="17" spans="1:39" x14ac:dyDescent="0.25">
      <c r="A17" s="905"/>
      <c r="B17" s="908"/>
      <c r="C17" s="606" t="s">
        <v>1305</v>
      </c>
      <c r="D17" s="604">
        <f t="shared" si="0"/>
        <v>0</v>
      </c>
      <c r="E17" s="607"/>
      <c r="F17" s="607"/>
      <c r="G17" s="607"/>
      <c r="H17" s="607"/>
      <c r="I17" s="607"/>
      <c r="J17" s="607"/>
      <c r="K17" s="607"/>
      <c r="L17" s="607"/>
      <c r="M17" s="607"/>
      <c r="N17" s="607"/>
      <c r="O17" s="607"/>
      <c r="P17" s="607"/>
      <c r="Q17" s="607"/>
      <c r="R17" s="607"/>
      <c r="S17" s="607"/>
      <c r="T17" s="607"/>
      <c r="U17" s="607"/>
    </row>
    <row r="18" spans="1:39" x14ac:dyDescent="0.25">
      <c r="A18" s="906"/>
      <c r="B18" s="909"/>
      <c r="C18" s="608" t="s">
        <v>41</v>
      </c>
      <c r="D18" s="598">
        <f t="shared" ref="D18:U18" si="3">SUM(D14:D17)</f>
        <v>67</v>
      </c>
      <c r="E18" s="598">
        <f t="shared" si="3"/>
        <v>11</v>
      </c>
      <c r="F18" s="598">
        <f t="shared" si="3"/>
        <v>4</v>
      </c>
      <c r="G18" s="598">
        <f t="shared" si="3"/>
        <v>4</v>
      </c>
      <c r="H18" s="598">
        <f t="shared" si="3"/>
        <v>2</v>
      </c>
      <c r="I18" s="598">
        <f t="shared" si="3"/>
        <v>6</v>
      </c>
      <c r="J18" s="598">
        <f t="shared" si="3"/>
        <v>0</v>
      </c>
      <c r="K18" s="598">
        <f t="shared" si="3"/>
        <v>11</v>
      </c>
      <c r="L18" s="598">
        <f t="shared" si="3"/>
        <v>6</v>
      </c>
      <c r="M18" s="598">
        <f t="shared" si="3"/>
        <v>3</v>
      </c>
      <c r="N18" s="598">
        <f t="shared" si="3"/>
        <v>4</v>
      </c>
      <c r="O18" s="598">
        <f t="shared" si="3"/>
        <v>1</v>
      </c>
      <c r="P18" s="598">
        <f t="shared" si="3"/>
        <v>2</v>
      </c>
      <c r="Q18" s="598">
        <f t="shared" si="3"/>
        <v>1</v>
      </c>
      <c r="R18" s="598">
        <f t="shared" si="3"/>
        <v>3</v>
      </c>
      <c r="S18" s="598">
        <f t="shared" si="3"/>
        <v>5</v>
      </c>
      <c r="T18" s="598">
        <f t="shared" si="3"/>
        <v>2</v>
      </c>
      <c r="U18" s="598">
        <f t="shared" si="3"/>
        <v>2</v>
      </c>
      <c r="W18" s="530"/>
      <c r="X18" s="530"/>
      <c r="Y18" s="530"/>
      <c r="Z18" s="530"/>
      <c r="AA18" s="530"/>
      <c r="AB18" s="530"/>
      <c r="AC18" s="530"/>
      <c r="AD18" s="530"/>
      <c r="AE18" s="530"/>
      <c r="AF18" s="530"/>
      <c r="AG18" s="530"/>
      <c r="AH18" s="530"/>
      <c r="AI18" s="530"/>
      <c r="AJ18" s="530"/>
      <c r="AK18" s="530"/>
      <c r="AL18" s="530"/>
      <c r="AM18" s="530"/>
    </row>
    <row r="19" spans="1:39" x14ac:dyDescent="0.25">
      <c r="A19" s="910" t="s">
        <v>532</v>
      </c>
      <c r="B19" s="911" t="s">
        <v>1326</v>
      </c>
      <c r="C19" s="601" t="s">
        <v>1302</v>
      </c>
      <c r="D19" s="609">
        <f>SUM(E19:U19)</f>
        <v>0</v>
      </c>
      <c r="E19" s="601"/>
      <c r="F19" s="601"/>
      <c r="G19" s="601"/>
      <c r="H19" s="601"/>
      <c r="I19" s="601"/>
      <c r="J19" s="601"/>
      <c r="K19" s="601"/>
      <c r="L19" s="601"/>
      <c r="M19" s="601"/>
      <c r="N19" s="601"/>
      <c r="O19" s="601"/>
      <c r="P19" s="601"/>
      <c r="Q19" s="601"/>
      <c r="R19" s="601"/>
      <c r="S19" s="601"/>
      <c r="T19" s="601"/>
      <c r="U19" s="601"/>
      <c r="W19" s="530"/>
      <c r="X19" s="530"/>
      <c r="Y19" s="530"/>
      <c r="Z19" s="530"/>
      <c r="AA19" s="530"/>
      <c r="AB19" s="530"/>
      <c r="AC19" s="530"/>
      <c r="AD19" s="530"/>
      <c r="AE19" s="530"/>
      <c r="AF19" s="530"/>
      <c r="AG19" s="530"/>
      <c r="AH19" s="530"/>
      <c r="AI19" s="530"/>
      <c r="AJ19" s="530"/>
      <c r="AK19" s="530"/>
      <c r="AL19" s="530"/>
      <c r="AM19" s="530"/>
    </row>
    <row r="20" spans="1:39" x14ac:dyDescent="0.25">
      <c r="A20" s="905"/>
      <c r="B20" s="912"/>
      <c r="C20" s="603" t="s">
        <v>1303</v>
      </c>
      <c r="D20" s="604">
        <f>SUM(E20:U20)</f>
        <v>5</v>
      </c>
      <c r="E20" s="605">
        <v>3</v>
      </c>
      <c r="F20" s="605">
        <v>1</v>
      </c>
      <c r="G20" s="605"/>
      <c r="H20" s="605"/>
      <c r="I20" s="605">
        <v>1</v>
      </c>
      <c r="J20" s="605"/>
      <c r="K20" s="605"/>
      <c r="L20" s="605"/>
      <c r="M20" s="605"/>
      <c r="N20" s="605"/>
      <c r="O20" s="605"/>
      <c r="P20" s="605"/>
      <c r="Q20" s="605"/>
      <c r="R20" s="605"/>
      <c r="S20" s="605"/>
      <c r="T20" s="605"/>
      <c r="U20" s="605"/>
      <c r="W20" s="530"/>
      <c r="X20" s="530"/>
      <c r="Y20" s="530"/>
      <c r="Z20" s="530"/>
      <c r="AA20" s="530"/>
      <c r="AB20" s="530"/>
      <c r="AC20" s="530"/>
      <c r="AD20" s="530"/>
      <c r="AE20" s="530"/>
      <c r="AF20" s="530"/>
      <c r="AG20" s="530"/>
      <c r="AH20" s="530"/>
      <c r="AI20" s="530"/>
      <c r="AJ20" s="530"/>
      <c r="AK20" s="530"/>
      <c r="AL20" s="530"/>
      <c r="AM20" s="530"/>
    </row>
    <row r="21" spans="1:39" x14ac:dyDescent="0.25">
      <c r="A21" s="905"/>
      <c r="B21" s="912"/>
      <c r="C21" s="603" t="s">
        <v>1304</v>
      </c>
      <c r="D21" s="604">
        <f>SUM(E21:U21)</f>
        <v>0</v>
      </c>
      <c r="E21" s="603"/>
      <c r="F21" s="603"/>
      <c r="G21" s="603"/>
      <c r="H21" s="603"/>
      <c r="I21" s="603"/>
      <c r="J21" s="603"/>
      <c r="K21" s="603"/>
      <c r="L21" s="603"/>
      <c r="M21" s="603"/>
      <c r="N21" s="603"/>
      <c r="O21" s="603"/>
      <c r="P21" s="603"/>
      <c r="Q21" s="603"/>
      <c r="R21" s="603"/>
      <c r="S21" s="603"/>
      <c r="T21" s="603"/>
      <c r="U21" s="603"/>
      <c r="W21" s="530"/>
      <c r="X21" s="530"/>
      <c r="Y21" s="530"/>
      <c r="Z21" s="530"/>
      <c r="AA21" s="530"/>
      <c r="AB21" s="530"/>
      <c r="AC21" s="530"/>
      <c r="AD21" s="530"/>
      <c r="AE21" s="530"/>
      <c r="AF21" s="530"/>
      <c r="AG21" s="530"/>
      <c r="AH21" s="530"/>
      <c r="AI21" s="530"/>
      <c r="AJ21" s="530"/>
      <c r="AK21" s="530"/>
      <c r="AL21" s="530"/>
      <c r="AM21" s="530"/>
    </row>
    <row r="22" spans="1:39" x14ac:dyDescent="0.25">
      <c r="A22" s="905"/>
      <c r="B22" s="912"/>
      <c r="C22" s="606" t="s">
        <v>1305</v>
      </c>
      <c r="D22" s="610">
        <f>SUM(E22:U22)</f>
        <v>0</v>
      </c>
      <c r="E22" s="611"/>
      <c r="F22" s="611"/>
      <c r="G22" s="611"/>
      <c r="H22" s="611"/>
      <c r="I22" s="611"/>
      <c r="J22" s="611"/>
      <c r="K22" s="611"/>
      <c r="L22" s="611"/>
      <c r="M22" s="611"/>
      <c r="N22" s="611"/>
      <c r="O22" s="611"/>
      <c r="P22" s="611"/>
      <c r="Q22" s="611"/>
      <c r="R22" s="611"/>
      <c r="S22" s="611"/>
      <c r="T22" s="611"/>
      <c r="U22" s="611"/>
      <c r="W22" s="530"/>
      <c r="X22" s="530"/>
      <c r="Y22" s="530"/>
      <c r="Z22" s="530"/>
      <c r="AA22" s="530"/>
      <c r="AB22" s="530"/>
      <c r="AC22" s="530"/>
      <c r="AD22" s="530"/>
      <c r="AE22" s="530"/>
      <c r="AF22" s="530"/>
      <c r="AG22" s="530"/>
      <c r="AH22" s="530"/>
      <c r="AI22" s="530"/>
      <c r="AJ22" s="530"/>
      <c r="AK22" s="530"/>
      <c r="AL22" s="530"/>
      <c r="AM22" s="530"/>
    </row>
    <row r="23" spans="1:39" x14ac:dyDescent="0.25">
      <c r="A23" s="906"/>
      <c r="B23" s="913"/>
      <c r="C23" s="608" t="s">
        <v>41</v>
      </c>
      <c r="D23" s="598">
        <f>SUM(E23:U23)</f>
        <v>5</v>
      </c>
      <c r="E23" s="598">
        <f t="shared" ref="E23:U23" si="4">SUM(E19:E22)</f>
        <v>3</v>
      </c>
      <c r="F23" s="598">
        <f t="shared" si="4"/>
        <v>1</v>
      </c>
      <c r="G23" s="598">
        <f t="shared" si="4"/>
        <v>0</v>
      </c>
      <c r="H23" s="598">
        <f t="shared" si="4"/>
        <v>0</v>
      </c>
      <c r="I23" s="598">
        <f t="shared" si="4"/>
        <v>1</v>
      </c>
      <c r="J23" s="598">
        <f t="shared" si="4"/>
        <v>0</v>
      </c>
      <c r="K23" s="598">
        <f t="shared" si="4"/>
        <v>0</v>
      </c>
      <c r="L23" s="598">
        <f t="shared" si="4"/>
        <v>0</v>
      </c>
      <c r="M23" s="598">
        <f t="shared" si="4"/>
        <v>0</v>
      </c>
      <c r="N23" s="598">
        <f t="shared" si="4"/>
        <v>0</v>
      </c>
      <c r="O23" s="598">
        <f t="shared" si="4"/>
        <v>0</v>
      </c>
      <c r="P23" s="598">
        <f t="shared" si="4"/>
        <v>0</v>
      </c>
      <c r="Q23" s="598">
        <f t="shared" si="4"/>
        <v>0</v>
      </c>
      <c r="R23" s="598">
        <f t="shared" si="4"/>
        <v>0</v>
      </c>
      <c r="S23" s="598">
        <f t="shared" si="4"/>
        <v>0</v>
      </c>
      <c r="T23" s="598">
        <f t="shared" si="4"/>
        <v>0</v>
      </c>
      <c r="U23" s="598">
        <f t="shared" si="4"/>
        <v>0</v>
      </c>
      <c r="W23" s="530"/>
      <c r="X23" s="530"/>
      <c r="Y23" s="530"/>
      <c r="Z23" s="530"/>
      <c r="AA23" s="530"/>
      <c r="AB23" s="530"/>
      <c r="AC23" s="530"/>
      <c r="AD23" s="530"/>
      <c r="AE23" s="530"/>
      <c r="AF23" s="530"/>
      <c r="AG23" s="530"/>
      <c r="AH23" s="530"/>
      <c r="AI23" s="530"/>
      <c r="AJ23" s="530"/>
      <c r="AK23" s="530"/>
      <c r="AL23" s="530"/>
      <c r="AM23" s="530"/>
    </row>
    <row r="24" spans="1:39" x14ac:dyDescent="0.25">
      <c r="A24" s="910" t="s">
        <v>347</v>
      </c>
      <c r="B24" s="907" t="s">
        <v>1323</v>
      </c>
      <c r="C24" s="601" t="s">
        <v>1302</v>
      </c>
      <c r="D24" s="609">
        <f t="shared" si="0"/>
        <v>3</v>
      </c>
      <c r="E24" s="601"/>
      <c r="F24" s="601"/>
      <c r="G24" s="638"/>
      <c r="H24" s="601"/>
      <c r="I24" s="601"/>
      <c r="J24" s="601"/>
      <c r="K24" s="631">
        <v>1</v>
      </c>
      <c r="L24" s="631">
        <v>1</v>
      </c>
      <c r="M24" s="601"/>
      <c r="N24" s="601"/>
      <c r="O24" s="601"/>
      <c r="P24" s="601"/>
      <c r="Q24" s="601"/>
      <c r="R24" s="601"/>
      <c r="S24" s="631">
        <v>1</v>
      </c>
      <c r="T24" s="601"/>
      <c r="U24" s="601"/>
    </row>
    <row r="25" spans="1:39" x14ac:dyDescent="0.25">
      <c r="A25" s="905"/>
      <c r="B25" s="912"/>
      <c r="C25" s="603" t="s">
        <v>1303</v>
      </c>
      <c r="D25" s="604">
        <f t="shared" si="0"/>
        <v>68</v>
      </c>
      <c r="E25" s="602">
        <f>DulieuXDKH!AL13</f>
        <v>10</v>
      </c>
      <c r="F25" s="602">
        <f>DulieuXDKH!AL14</f>
        <v>4</v>
      </c>
      <c r="G25" s="602">
        <f>DulieuXDKH!AL15</f>
        <v>5</v>
      </c>
      <c r="H25" s="602">
        <f>DulieuXDKH!AL16</f>
        <v>3</v>
      </c>
      <c r="I25" s="602">
        <f>DulieuXDKH!AL17</f>
        <v>7</v>
      </c>
      <c r="J25" s="602">
        <f>DulieuXDKH!AL18</f>
        <v>0</v>
      </c>
      <c r="K25" s="602">
        <f>DulieuXDKH!AL19</f>
        <v>10</v>
      </c>
      <c r="L25" s="602">
        <f>DulieuXDKH!AL20</f>
        <v>4</v>
      </c>
      <c r="M25" s="602">
        <f>DulieuXDKH!AL21</f>
        <v>3</v>
      </c>
      <c r="N25" s="602">
        <f>DulieuXDKH!AL22</f>
        <v>5</v>
      </c>
      <c r="O25" s="602">
        <f>DulieuXDKH!AL23</f>
        <v>1</v>
      </c>
      <c r="P25" s="602">
        <f>DulieuXDKH!AL24</f>
        <v>2</v>
      </c>
      <c r="Q25" s="602">
        <f>DulieuXDKH!AL25</f>
        <v>1</v>
      </c>
      <c r="R25" s="602">
        <f>DulieuXDKH!AL26</f>
        <v>5</v>
      </c>
      <c r="S25" s="602">
        <f>DulieuXDKH!AL27</f>
        <v>4</v>
      </c>
      <c r="T25" s="602">
        <f>DulieuXDKH!AL28</f>
        <v>2</v>
      </c>
      <c r="U25" s="602">
        <f>DulieuXDKH!AL29</f>
        <v>2</v>
      </c>
    </row>
    <row r="26" spans="1:39" x14ac:dyDescent="0.25">
      <c r="A26" s="905"/>
      <c r="B26" s="912"/>
      <c r="C26" s="603" t="s">
        <v>1304</v>
      </c>
      <c r="D26" s="604">
        <f t="shared" si="0"/>
        <v>1</v>
      </c>
      <c r="E26" s="630">
        <v>1</v>
      </c>
      <c r="F26" s="603"/>
      <c r="G26" s="603"/>
      <c r="H26" s="603"/>
      <c r="I26" s="603"/>
      <c r="J26" s="603"/>
      <c r="K26" s="603"/>
      <c r="L26" s="603"/>
      <c r="M26" s="603"/>
      <c r="N26" s="603"/>
      <c r="O26" s="603"/>
      <c r="P26" s="603"/>
      <c r="Q26" s="603"/>
      <c r="R26" s="603"/>
      <c r="S26" s="603"/>
      <c r="T26" s="603"/>
      <c r="U26" s="603"/>
    </row>
    <row r="27" spans="1:39" x14ac:dyDescent="0.25">
      <c r="A27" s="905"/>
      <c r="B27" s="912"/>
      <c r="C27" s="606" t="s">
        <v>1305</v>
      </c>
      <c r="D27" s="604">
        <f t="shared" si="0"/>
        <v>2</v>
      </c>
      <c r="E27" s="611"/>
      <c r="F27" s="611"/>
      <c r="G27" s="611"/>
      <c r="H27" s="611"/>
      <c r="I27" s="611"/>
      <c r="J27" s="611"/>
      <c r="K27" s="611"/>
      <c r="L27" s="611"/>
      <c r="M27" s="629">
        <v>1</v>
      </c>
      <c r="N27" s="629">
        <v>1</v>
      </c>
      <c r="O27" s="611"/>
      <c r="P27" s="611"/>
      <c r="Q27" s="611"/>
      <c r="R27" s="611"/>
      <c r="S27" s="611"/>
      <c r="T27" s="611"/>
      <c r="U27" s="611"/>
    </row>
    <row r="28" spans="1:39" x14ac:dyDescent="0.25">
      <c r="A28" s="906"/>
      <c r="B28" s="913"/>
      <c r="C28" s="612" t="s">
        <v>41</v>
      </c>
      <c r="D28" s="598">
        <f t="shared" si="0"/>
        <v>74</v>
      </c>
      <c r="E28" s="598">
        <f t="shared" ref="E28:U28" si="5">SUM(E24:E27)</f>
        <v>11</v>
      </c>
      <c r="F28" s="598">
        <f t="shared" si="5"/>
        <v>4</v>
      </c>
      <c r="G28" s="598">
        <f t="shared" si="5"/>
        <v>5</v>
      </c>
      <c r="H28" s="598">
        <f t="shared" si="5"/>
        <v>3</v>
      </c>
      <c r="I28" s="598">
        <f t="shared" si="5"/>
        <v>7</v>
      </c>
      <c r="J28" s="598">
        <f t="shared" si="5"/>
        <v>0</v>
      </c>
      <c r="K28" s="598">
        <f t="shared" si="5"/>
        <v>11</v>
      </c>
      <c r="L28" s="598">
        <f t="shared" si="5"/>
        <v>5</v>
      </c>
      <c r="M28" s="598">
        <f t="shared" si="5"/>
        <v>4</v>
      </c>
      <c r="N28" s="598">
        <f t="shared" si="5"/>
        <v>6</v>
      </c>
      <c r="O28" s="598">
        <f t="shared" si="5"/>
        <v>1</v>
      </c>
      <c r="P28" s="598">
        <f t="shared" si="5"/>
        <v>2</v>
      </c>
      <c r="Q28" s="598">
        <f t="shared" si="5"/>
        <v>1</v>
      </c>
      <c r="R28" s="598">
        <f t="shared" si="5"/>
        <v>5</v>
      </c>
      <c r="S28" s="598">
        <f t="shared" si="5"/>
        <v>5</v>
      </c>
      <c r="T28" s="598">
        <f t="shared" si="5"/>
        <v>2</v>
      </c>
      <c r="U28" s="598">
        <f t="shared" si="5"/>
        <v>2</v>
      </c>
    </row>
    <row r="29" spans="1:39" x14ac:dyDescent="0.25">
      <c r="A29" s="910" t="s">
        <v>632</v>
      </c>
      <c r="B29" s="911" t="s">
        <v>1306</v>
      </c>
      <c r="C29" s="613" t="s">
        <v>1302</v>
      </c>
      <c r="D29" s="602">
        <f t="shared" si="0"/>
        <v>0</v>
      </c>
      <c r="E29" s="604">
        <f t="shared" ref="E29:U29" si="6">IF(E24-(E14-E19)&lt;=0,0,E24-(E14-E19))</f>
        <v>0</v>
      </c>
      <c r="F29" s="604">
        <f t="shared" si="6"/>
        <v>0</v>
      </c>
      <c r="G29" s="604">
        <f t="shared" si="6"/>
        <v>0</v>
      </c>
      <c r="H29" s="604">
        <f t="shared" si="6"/>
        <v>0</v>
      </c>
      <c r="I29" s="604">
        <f t="shared" si="6"/>
        <v>0</v>
      </c>
      <c r="J29" s="604">
        <f t="shared" si="6"/>
        <v>0</v>
      </c>
      <c r="K29" s="604">
        <f t="shared" si="6"/>
        <v>0</v>
      </c>
      <c r="L29" s="604">
        <f t="shared" si="6"/>
        <v>0</v>
      </c>
      <c r="M29" s="604">
        <f t="shared" si="6"/>
        <v>0</v>
      </c>
      <c r="N29" s="604">
        <f t="shared" si="6"/>
        <v>0</v>
      </c>
      <c r="O29" s="604">
        <f t="shared" si="6"/>
        <v>0</v>
      </c>
      <c r="P29" s="604">
        <f t="shared" si="6"/>
        <v>0</v>
      </c>
      <c r="Q29" s="604">
        <f t="shared" si="6"/>
        <v>0</v>
      </c>
      <c r="R29" s="604">
        <f t="shared" si="6"/>
        <v>0</v>
      </c>
      <c r="S29" s="604">
        <f t="shared" si="6"/>
        <v>0</v>
      </c>
      <c r="T29" s="604">
        <f t="shared" si="6"/>
        <v>0</v>
      </c>
      <c r="U29" s="604">
        <f t="shared" si="6"/>
        <v>0</v>
      </c>
    </row>
    <row r="30" spans="1:39" x14ac:dyDescent="0.25">
      <c r="A30" s="905"/>
      <c r="B30" s="912"/>
      <c r="C30" s="603" t="s">
        <v>1303</v>
      </c>
      <c r="D30" s="604">
        <f t="shared" si="0"/>
        <v>11</v>
      </c>
      <c r="E30" s="604">
        <f t="shared" ref="E30:U30" si="7">IF(E25-(E15-E20)&lt;=0,0,E25-(E15-E20))</f>
        <v>3</v>
      </c>
      <c r="F30" s="604">
        <f t="shared" si="7"/>
        <v>1</v>
      </c>
      <c r="G30" s="604">
        <f t="shared" si="7"/>
        <v>1</v>
      </c>
      <c r="H30" s="604">
        <f t="shared" si="7"/>
        <v>1</v>
      </c>
      <c r="I30" s="604">
        <f t="shared" si="7"/>
        <v>2</v>
      </c>
      <c r="J30" s="604">
        <f t="shared" si="7"/>
        <v>0</v>
      </c>
      <c r="K30" s="604">
        <f t="shared" si="7"/>
        <v>0</v>
      </c>
      <c r="L30" s="604">
        <f t="shared" si="7"/>
        <v>0</v>
      </c>
      <c r="M30" s="604">
        <f t="shared" si="7"/>
        <v>0</v>
      </c>
      <c r="N30" s="604">
        <f t="shared" si="7"/>
        <v>1</v>
      </c>
      <c r="O30" s="604">
        <f t="shared" si="7"/>
        <v>0</v>
      </c>
      <c r="P30" s="604">
        <f t="shared" si="7"/>
        <v>0</v>
      </c>
      <c r="Q30" s="604">
        <f t="shared" si="7"/>
        <v>0</v>
      </c>
      <c r="R30" s="604">
        <f t="shared" si="7"/>
        <v>2</v>
      </c>
      <c r="S30" s="604">
        <f t="shared" si="7"/>
        <v>0</v>
      </c>
      <c r="T30" s="604">
        <f t="shared" si="7"/>
        <v>0</v>
      </c>
      <c r="U30" s="604">
        <f t="shared" si="7"/>
        <v>0</v>
      </c>
    </row>
    <row r="31" spans="1:39" x14ac:dyDescent="0.25">
      <c r="A31" s="905"/>
      <c r="B31" s="912"/>
      <c r="C31" s="603" t="s">
        <v>1304</v>
      </c>
      <c r="D31" s="604">
        <f t="shared" si="0"/>
        <v>0</v>
      </c>
      <c r="E31" s="604">
        <f t="shared" ref="E31:U31" si="8">IF(E26-(E16-E21)&lt;=0,0,E26-(E16-E21))</f>
        <v>0</v>
      </c>
      <c r="F31" s="604">
        <f t="shared" si="8"/>
        <v>0</v>
      </c>
      <c r="G31" s="604">
        <f t="shared" si="8"/>
        <v>0</v>
      </c>
      <c r="H31" s="604">
        <f t="shared" si="8"/>
        <v>0</v>
      </c>
      <c r="I31" s="604">
        <f t="shared" si="8"/>
        <v>0</v>
      </c>
      <c r="J31" s="604">
        <f t="shared" si="8"/>
        <v>0</v>
      </c>
      <c r="K31" s="604">
        <f t="shared" si="8"/>
        <v>0</v>
      </c>
      <c r="L31" s="604">
        <f t="shared" si="8"/>
        <v>0</v>
      </c>
      <c r="M31" s="604">
        <f t="shared" si="8"/>
        <v>0</v>
      </c>
      <c r="N31" s="604">
        <f t="shared" si="8"/>
        <v>0</v>
      </c>
      <c r="O31" s="604">
        <f t="shared" si="8"/>
        <v>0</v>
      </c>
      <c r="P31" s="604">
        <f t="shared" si="8"/>
        <v>0</v>
      </c>
      <c r="Q31" s="604">
        <f t="shared" si="8"/>
        <v>0</v>
      </c>
      <c r="R31" s="604">
        <f t="shared" si="8"/>
        <v>0</v>
      </c>
      <c r="S31" s="604">
        <f t="shared" si="8"/>
        <v>0</v>
      </c>
      <c r="T31" s="604">
        <f t="shared" si="8"/>
        <v>0</v>
      </c>
      <c r="U31" s="604">
        <f t="shared" si="8"/>
        <v>0</v>
      </c>
    </row>
    <row r="32" spans="1:39" x14ac:dyDescent="0.25">
      <c r="A32" s="905"/>
      <c r="B32" s="912"/>
      <c r="C32" s="606" t="s">
        <v>1305</v>
      </c>
      <c r="D32" s="610">
        <f t="shared" si="0"/>
        <v>2</v>
      </c>
      <c r="E32" s="604">
        <f t="shared" ref="E32:U32" si="9">IF(E27-(E17-E22)&lt;=0,0,E27-(E17-E22))</f>
        <v>0</v>
      </c>
      <c r="F32" s="604">
        <f t="shared" si="9"/>
        <v>0</v>
      </c>
      <c r="G32" s="604">
        <f t="shared" si="9"/>
        <v>0</v>
      </c>
      <c r="H32" s="604">
        <f t="shared" si="9"/>
        <v>0</v>
      </c>
      <c r="I32" s="604">
        <f t="shared" si="9"/>
        <v>0</v>
      </c>
      <c r="J32" s="604">
        <f t="shared" si="9"/>
        <v>0</v>
      </c>
      <c r="K32" s="604">
        <f t="shared" si="9"/>
        <v>0</v>
      </c>
      <c r="L32" s="604">
        <f t="shared" si="9"/>
        <v>0</v>
      </c>
      <c r="M32" s="604">
        <f t="shared" si="9"/>
        <v>1</v>
      </c>
      <c r="N32" s="604">
        <f t="shared" si="9"/>
        <v>1</v>
      </c>
      <c r="O32" s="604">
        <f t="shared" si="9"/>
        <v>0</v>
      </c>
      <c r="P32" s="604">
        <f t="shared" si="9"/>
        <v>0</v>
      </c>
      <c r="Q32" s="604">
        <f t="shared" si="9"/>
        <v>0</v>
      </c>
      <c r="R32" s="604">
        <f t="shared" si="9"/>
        <v>0</v>
      </c>
      <c r="S32" s="604">
        <f t="shared" si="9"/>
        <v>0</v>
      </c>
      <c r="T32" s="604">
        <f t="shared" si="9"/>
        <v>0</v>
      </c>
      <c r="U32" s="604">
        <f t="shared" si="9"/>
        <v>0</v>
      </c>
      <c r="W32" s="563"/>
    </row>
    <row r="33" spans="1:21" ht="16.5" customHeight="1" x14ac:dyDescent="0.25">
      <c r="A33" s="906"/>
      <c r="B33" s="913"/>
      <c r="C33" s="608" t="s">
        <v>41</v>
      </c>
      <c r="D33" s="598">
        <f t="shared" si="0"/>
        <v>13</v>
      </c>
      <c r="E33" s="598">
        <f t="shared" ref="E33:U33" si="10">SUM(E29:E32)</f>
        <v>3</v>
      </c>
      <c r="F33" s="598">
        <f t="shared" si="10"/>
        <v>1</v>
      </c>
      <c r="G33" s="598">
        <f t="shared" si="10"/>
        <v>1</v>
      </c>
      <c r="H33" s="598">
        <f t="shared" si="10"/>
        <v>1</v>
      </c>
      <c r="I33" s="598">
        <f t="shared" si="10"/>
        <v>2</v>
      </c>
      <c r="J33" s="598">
        <f t="shared" si="10"/>
        <v>0</v>
      </c>
      <c r="K33" s="598">
        <f t="shared" si="10"/>
        <v>0</v>
      </c>
      <c r="L33" s="598">
        <f t="shared" si="10"/>
        <v>0</v>
      </c>
      <c r="M33" s="598">
        <f t="shared" si="10"/>
        <v>1</v>
      </c>
      <c r="N33" s="598">
        <f t="shared" si="10"/>
        <v>2</v>
      </c>
      <c r="O33" s="598">
        <f t="shared" si="10"/>
        <v>0</v>
      </c>
      <c r="P33" s="598">
        <f t="shared" si="10"/>
        <v>0</v>
      </c>
      <c r="Q33" s="598">
        <f t="shared" si="10"/>
        <v>0</v>
      </c>
      <c r="R33" s="598">
        <f t="shared" si="10"/>
        <v>2</v>
      </c>
      <c r="S33" s="598">
        <f t="shared" si="10"/>
        <v>0</v>
      </c>
      <c r="T33" s="598">
        <f t="shared" si="10"/>
        <v>0</v>
      </c>
      <c r="U33" s="598">
        <f t="shared" si="10"/>
        <v>0</v>
      </c>
    </row>
    <row r="34" spans="1:21" ht="13.5" customHeight="1" x14ac:dyDescent="0.25">
      <c r="A34" s="904" t="s">
        <v>1307</v>
      </c>
      <c r="B34" s="911" t="s">
        <v>1308</v>
      </c>
      <c r="C34" s="613" t="s">
        <v>1302</v>
      </c>
      <c r="D34" s="609">
        <f t="shared" si="0"/>
        <v>0</v>
      </c>
      <c r="E34" s="614">
        <f t="shared" ref="E34:U34" si="11">IF((E14-E19)&lt;E24,0,(E14-E19)-E24)</f>
        <v>0</v>
      </c>
      <c r="F34" s="614">
        <f t="shared" si="11"/>
        <v>0</v>
      </c>
      <c r="G34" s="614">
        <f t="shared" si="11"/>
        <v>0</v>
      </c>
      <c r="H34" s="614">
        <f t="shared" si="11"/>
        <v>0</v>
      </c>
      <c r="I34" s="614">
        <f t="shared" si="11"/>
        <v>0</v>
      </c>
      <c r="J34" s="614">
        <f t="shared" si="11"/>
        <v>0</v>
      </c>
      <c r="K34" s="614">
        <f t="shared" si="11"/>
        <v>0</v>
      </c>
      <c r="L34" s="614">
        <f t="shared" si="11"/>
        <v>0</v>
      </c>
      <c r="M34" s="614">
        <f t="shared" si="11"/>
        <v>0</v>
      </c>
      <c r="N34" s="614">
        <f t="shared" si="11"/>
        <v>0</v>
      </c>
      <c r="O34" s="614">
        <f t="shared" si="11"/>
        <v>0</v>
      </c>
      <c r="P34" s="614">
        <f t="shared" si="11"/>
        <v>0</v>
      </c>
      <c r="Q34" s="614">
        <f t="shared" si="11"/>
        <v>0</v>
      </c>
      <c r="R34" s="614">
        <f t="shared" si="11"/>
        <v>0</v>
      </c>
      <c r="S34" s="614">
        <f t="shared" si="11"/>
        <v>0</v>
      </c>
      <c r="T34" s="614">
        <f t="shared" si="11"/>
        <v>0</v>
      </c>
      <c r="U34" s="614">
        <f t="shared" si="11"/>
        <v>0</v>
      </c>
    </row>
    <row r="35" spans="1:21" ht="13.5" customHeight="1" x14ac:dyDescent="0.25">
      <c r="A35" s="905"/>
      <c r="B35" s="912"/>
      <c r="C35" s="603" t="s">
        <v>1303</v>
      </c>
      <c r="D35" s="604">
        <f t="shared" si="0"/>
        <v>1</v>
      </c>
      <c r="E35" s="614">
        <f t="shared" ref="E35:U35" si="12">IF((E15-E20)&lt;E25,0,(E15-E20)-E25)</f>
        <v>0</v>
      </c>
      <c r="F35" s="614">
        <f t="shared" si="12"/>
        <v>0</v>
      </c>
      <c r="G35" s="614">
        <f t="shared" si="12"/>
        <v>0</v>
      </c>
      <c r="H35" s="614">
        <f t="shared" si="12"/>
        <v>0</v>
      </c>
      <c r="I35" s="614">
        <f t="shared" si="12"/>
        <v>0</v>
      </c>
      <c r="J35" s="614">
        <f t="shared" si="12"/>
        <v>0</v>
      </c>
      <c r="K35" s="614">
        <f t="shared" si="12"/>
        <v>0</v>
      </c>
      <c r="L35" s="614">
        <f t="shared" si="12"/>
        <v>1</v>
      </c>
      <c r="M35" s="614">
        <f t="shared" si="12"/>
        <v>0</v>
      </c>
      <c r="N35" s="614">
        <f t="shared" si="12"/>
        <v>0</v>
      </c>
      <c r="O35" s="614">
        <f t="shared" si="12"/>
        <v>0</v>
      </c>
      <c r="P35" s="614">
        <f t="shared" si="12"/>
        <v>0</v>
      </c>
      <c r="Q35" s="614">
        <f t="shared" si="12"/>
        <v>0</v>
      </c>
      <c r="R35" s="614">
        <f t="shared" si="12"/>
        <v>0</v>
      </c>
      <c r="S35" s="614">
        <f t="shared" si="12"/>
        <v>0</v>
      </c>
      <c r="T35" s="614">
        <f t="shared" si="12"/>
        <v>0</v>
      </c>
      <c r="U35" s="614">
        <f t="shared" si="12"/>
        <v>0</v>
      </c>
    </row>
    <row r="36" spans="1:21" ht="13.5" customHeight="1" x14ac:dyDescent="0.25">
      <c r="A36" s="905"/>
      <c r="B36" s="912"/>
      <c r="C36" s="603" t="s">
        <v>1304</v>
      </c>
      <c r="D36" s="604">
        <f t="shared" si="0"/>
        <v>0</v>
      </c>
      <c r="E36" s="614">
        <f t="shared" ref="E36:U36" si="13">IF((E16-E21)&lt;E26,0,(E16-E21)-E26)</f>
        <v>0</v>
      </c>
      <c r="F36" s="614">
        <f t="shared" si="13"/>
        <v>0</v>
      </c>
      <c r="G36" s="614">
        <f t="shared" si="13"/>
        <v>0</v>
      </c>
      <c r="H36" s="614">
        <f t="shared" si="13"/>
        <v>0</v>
      </c>
      <c r="I36" s="614">
        <f t="shared" si="13"/>
        <v>0</v>
      </c>
      <c r="J36" s="614">
        <f t="shared" si="13"/>
        <v>0</v>
      </c>
      <c r="K36" s="614">
        <f t="shared" si="13"/>
        <v>0</v>
      </c>
      <c r="L36" s="614">
        <f t="shared" si="13"/>
        <v>0</v>
      </c>
      <c r="M36" s="614">
        <f t="shared" si="13"/>
        <v>0</v>
      </c>
      <c r="N36" s="614">
        <f t="shared" si="13"/>
        <v>0</v>
      </c>
      <c r="O36" s="614">
        <f t="shared" si="13"/>
        <v>0</v>
      </c>
      <c r="P36" s="614">
        <f t="shared" si="13"/>
        <v>0</v>
      </c>
      <c r="Q36" s="614">
        <f t="shared" si="13"/>
        <v>0</v>
      </c>
      <c r="R36" s="614">
        <f t="shared" si="13"/>
        <v>0</v>
      </c>
      <c r="S36" s="614">
        <f t="shared" si="13"/>
        <v>0</v>
      </c>
      <c r="T36" s="614">
        <f t="shared" si="13"/>
        <v>0</v>
      </c>
      <c r="U36" s="614">
        <f t="shared" si="13"/>
        <v>0</v>
      </c>
    </row>
    <row r="37" spans="1:21" ht="13.5" customHeight="1" x14ac:dyDescent="0.25">
      <c r="A37" s="905"/>
      <c r="B37" s="912"/>
      <c r="C37" s="606" t="s">
        <v>1305</v>
      </c>
      <c r="D37" s="610">
        <f t="shared" si="0"/>
        <v>0</v>
      </c>
      <c r="E37" s="614">
        <f t="shared" ref="E37:U37" si="14">IF((E17-E22)&lt;E27,0,(E17-E22)-E27)</f>
        <v>0</v>
      </c>
      <c r="F37" s="614">
        <f t="shared" si="14"/>
        <v>0</v>
      </c>
      <c r="G37" s="614">
        <f t="shared" si="14"/>
        <v>0</v>
      </c>
      <c r="H37" s="614">
        <f t="shared" si="14"/>
        <v>0</v>
      </c>
      <c r="I37" s="614">
        <f t="shared" si="14"/>
        <v>0</v>
      </c>
      <c r="J37" s="614">
        <f t="shared" si="14"/>
        <v>0</v>
      </c>
      <c r="K37" s="614">
        <f t="shared" si="14"/>
        <v>0</v>
      </c>
      <c r="L37" s="614">
        <f t="shared" si="14"/>
        <v>0</v>
      </c>
      <c r="M37" s="614">
        <f t="shared" si="14"/>
        <v>0</v>
      </c>
      <c r="N37" s="614">
        <f t="shared" si="14"/>
        <v>0</v>
      </c>
      <c r="O37" s="614">
        <f t="shared" si="14"/>
        <v>0</v>
      </c>
      <c r="P37" s="614">
        <f t="shared" si="14"/>
        <v>0</v>
      </c>
      <c r="Q37" s="614">
        <f t="shared" si="14"/>
        <v>0</v>
      </c>
      <c r="R37" s="614">
        <f t="shared" si="14"/>
        <v>0</v>
      </c>
      <c r="S37" s="614">
        <f t="shared" si="14"/>
        <v>0</v>
      </c>
      <c r="T37" s="614">
        <f t="shared" si="14"/>
        <v>0</v>
      </c>
      <c r="U37" s="614">
        <f t="shared" si="14"/>
        <v>0</v>
      </c>
    </row>
    <row r="38" spans="1:21" ht="13.5" customHeight="1" x14ac:dyDescent="0.25">
      <c r="A38" s="906"/>
      <c r="B38" s="913"/>
      <c r="C38" s="608" t="s">
        <v>41</v>
      </c>
      <c r="D38" s="598">
        <f t="shared" si="0"/>
        <v>1</v>
      </c>
      <c r="E38" s="615">
        <f>SUM(E34:E37)</f>
        <v>0</v>
      </c>
      <c r="F38" s="615">
        <f t="shared" ref="F38:U38" si="15">SUM(F34:F37)</f>
        <v>0</v>
      </c>
      <c r="G38" s="615">
        <f t="shared" si="15"/>
        <v>0</v>
      </c>
      <c r="H38" s="615">
        <f t="shared" si="15"/>
        <v>0</v>
      </c>
      <c r="I38" s="615">
        <f t="shared" si="15"/>
        <v>0</v>
      </c>
      <c r="J38" s="615">
        <f t="shared" si="15"/>
        <v>0</v>
      </c>
      <c r="K38" s="615">
        <f t="shared" si="15"/>
        <v>0</v>
      </c>
      <c r="L38" s="615">
        <f t="shared" si="15"/>
        <v>1</v>
      </c>
      <c r="M38" s="615">
        <f t="shared" si="15"/>
        <v>0</v>
      </c>
      <c r="N38" s="615">
        <f t="shared" si="15"/>
        <v>0</v>
      </c>
      <c r="O38" s="615">
        <f t="shared" si="15"/>
        <v>0</v>
      </c>
      <c r="P38" s="615">
        <f t="shared" si="15"/>
        <v>0</v>
      </c>
      <c r="Q38" s="615">
        <f t="shared" si="15"/>
        <v>0</v>
      </c>
      <c r="R38" s="615">
        <f t="shared" si="15"/>
        <v>0</v>
      </c>
      <c r="S38" s="615">
        <f t="shared" si="15"/>
        <v>0</v>
      </c>
      <c r="T38" s="615">
        <f t="shared" si="15"/>
        <v>0</v>
      </c>
      <c r="U38" s="615">
        <f t="shared" si="15"/>
        <v>0</v>
      </c>
    </row>
    <row r="39" spans="1:21" x14ac:dyDescent="0.25">
      <c r="B39" s="487" t="s">
        <v>1309</v>
      </c>
    </row>
    <row r="40" spans="1:21" ht="33" customHeight="1" x14ac:dyDescent="0.25">
      <c r="A40" s="910" t="s">
        <v>1044</v>
      </c>
      <c r="B40" s="914" t="s">
        <v>1310</v>
      </c>
      <c r="C40" s="915"/>
      <c r="D40" s="924" t="s">
        <v>1299</v>
      </c>
      <c r="E40" s="911" t="s">
        <v>1279</v>
      </c>
      <c r="F40" s="911" t="s">
        <v>1311</v>
      </c>
      <c r="G40" s="911" t="s">
        <v>1277</v>
      </c>
      <c r="H40" s="924" t="s">
        <v>1312</v>
      </c>
      <c r="I40" s="911" t="s">
        <v>1278</v>
      </c>
      <c r="J40" s="911" t="s">
        <v>1280</v>
      </c>
      <c r="K40" s="920" t="s">
        <v>1313</v>
      </c>
      <c r="L40" s="921"/>
    </row>
    <row r="41" spans="1:21" ht="33" customHeight="1" x14ac:dyDescent="0.25">
      <c r="A41" s="906"/>
      <c r="B41" s="916"/>
      <c r="C41" s="917"/>
      <c r="D41" s="913"/>
      <c r="E41" s="919"/>
      <c r="F41" s="919"/>
      <c r="G41" s="919"/>
      <c r="H41" s="913"/>
      <c r="I41" s="919"/>
      <c r="J41" s="919"/>
      <c r="K41" s="616" t="s">
        <v>1314</v>
      </c>
      <c r="L41" s="617" t="s">
        <v>1315</v>
      </c>
      <c r="O41" s="562" t="s">
        <v>1324</v>
      </c>
    </row>
    <row r="42" spans="1:21" x14ac:dyDescent="0.25">
      <c r="A42" s="567" t="s">
        <v>531</v>
      </c>
      <c r="B42" s="922" t="s">
        <v>1316</v>
      </c>
      <c r="C42" s="922"/>
      <c r="D42" s="598">
        <f>SUM(E42:L42)</f>
        <v>5</v>
      </c>
      <c r="E42" s="567">
        <v>1</v>
      </c>
      <c r="F42" s="567"/>
      <c r="G42" s="567">
        <v>1</v>
      </c>
      <c r="H42" s="567">
        <v>1</v>
      </c>
      <c r="I42" s="567">
        <v>1</v>
      </c>
      <c r="J42" s="567"/>
      <c r="K42" s="567">
        <v>1</v>
      </c>
      <c r="L42" s="567"/>
      <c r="O42" s="890" t="s">
        <v>1317</v>
      </c>
      <c r="P42" s="890"/>
      <c r="Q42" s="890"/>
      <c r="R42" s="890"/>
      <c r="S42" s="890"/>
      <c r="T42" s="890"/>
      <c r="U42" s="890"/>
    </row>
    <row r="43" spans="1:21" x14ac:dyDescent="0.25">
      <c r="A43" s="567" t="s">
        <v>532</v>
      </c>
      <c r="B43" s="923" t="s">
        <v>1326</v>
      </c>
      <c r="C43" s="923"/>
      <c r="D43" s="598">
        <f>SUM(E43:L43)</f>
        <v>0</v>
      </c>
      <c r="E43" s="567"/>
      <c r="F43" s="567"/>
      <c r="G43" s="567"/>
      <c r="H43" s="567"/>
      <c r="I43" s="567"/>
      <c r="J43" s="567"/>
      <c r="K43" s="567"/>
      <c r="L43" s="567"/>
      <c r="N43" s="562"/>
    </row>
    <row r="44" spans="1:21" x14ac:dyDescent="0.25">
      <c r="A44" s="567" t="s">
        <v>347</v>
      </c>
      <c r="B44" s="918" t="str">
        <f>B24</f>
        <v>Kế hoạch năm học  2020-2021</v>
      </c>
      <c r="C44" s="918"/>
      <c r="D44" s="598">
        <f>SUM(E44:L44)</f>
        <v>8</v>
      </c>
      <c r="E44" s="632">
        <v>1</v>
      </c>
      <c r="F44" s="632">
        <v>2</v>
      </c>
      <c r="G44" s="632">
        <v>1</v>
      </c>
      <c r="H44" s="632">
        <v>1</v>
      </c>
      <c r="I44" s="632">
        <v>1</v>
      </c>
      <c r="J44" s="632"/>
      <c r="K44" s="632">
        <v>2</v>
      </c>
      <c r="L44" s="567"/>
    </row>
    <row r="45" spans="1:21" x14ac:dyDescent="0.25">
      <c r="A45" s="567" t="s">
        <v>632</v>
      </c>
      <c r="B45" s="918" t="s">
        <v>1318</v>
      </c>
      <c r="C45" s="918"/>
      <c r="D45" s="598">
        <f t="shared" ref="D45:D46" si="16">SUM(E45:L45)</f>
        <v>3</v>
      </c>
      <c r="E45" s="632">
        <f>IF(E42&lt;E44,E44-E42,0)</f>
        <v>0</v>
      </c>
      <c r="F45" s="632">
        <f t="shared" ref="F45:L45" si="17">IF(F42&lt;F44,F44-F42,0)</f>
        <v>2</v>
      </c>
      <c r="G45" s="632">
        <f t="shared" si="17"/>
        <v>0</v>
      </c>
      <c r="H45" s="632">
        <f t="shared" si="17"/>
        <v>0</v>
      </c>
      <c r="I45" s="632">
        <f t="shared" si="17"/>
        <v>0</v>
      </c>
      <c r="J45" s="632">
        <f t="shared" si="17"/>
        <v>0</v>
      </c>
      <c r="K45" s="632">
        <f t="shared" si="17"/>
        <v>1</v>
      </c>
      <c r="L45" s="632">
        <f t="shared" si="17"/>
        <v>0</v>
      </c>
    </row>
    <row r="46" spans="1:21" x14ac:dyDescent="0.25">
      <c r="A46" s="618" t="s">
        <v>1307</v>
      </c>
      <c r="B46" s="619" t="s">
        <v>1308</v>
      </c>
      <c r="C46" s="619"/>
      <c r="D46" s="598">
        <f t="shared" si="16"/>
        <v>0</v>
      </c>
      <c r="E46" s="632">
        <f>IF(E42&gt;E44,E42-E44,0)</f>
        <v>0</v>
      </c>
      <c r="F46" s="632">
        <f t="shared" ref="F46:L46" si="18">IF(F42&gt;F44,F42-F44,0)</f>
        <v>0</v>
      </c>
      <c r="G46" s="632">
        <f t="shared" si="18"/>
        <v>0</v>
      </c>
      <c r="H46" s="632">
        <f t="shared" si="18"/>
        <v>0</v>
      </c>
      <c r="I46" s="632">
        <f t="shared" si="18"/>
        <v>0</v>
      </c>
      <c r="J46" s="632">
        <f t="shared" si="18"/>
        <v>0</v>
      </c>
      <c r="K46" s="632">
        <f t="shared" si="18"/>
        <v>0</v>
      </c>
      <c r="L46" s="632">
        <f t="shared" si="18"/>
        <v>0</v>
      </c>
    </row>
    <row r="47" spans="1:21" x14ac:dyDescent="0.25">
      <c r="A47" s="636"/>
      <c r="B47" s="636"/>
      <c r="C47" s="636"/>
      <c r="D47" s="620"/>
      <c r="E47" s="620"/>
      <c r="F47" s="620"/>
      <c r="G47" s="620"/>
      <c r="H47" s="620"/>
      <c r="I47" s="620"/>
      <c r="J47" s="620"/>
      <c r="K47" s="620"/>
      <c r="L47" s="567">
        <f t="shared" ref="L47" si="19">SUM(L44:L45)</f>
        <v>0</v>
      </c>
    </row>
  </sheetData>
  <mergeCells count="47">
    <mergeCell ref="B45:C45"/>
    <mergeCell ref="J40:J41"/>
    <mergeCell ref="K40:L40"/>
    <mergeCell ref="B42:C42"/>
    <mergeCell ref="O42:U42"/>
    <mergeCell ref="B43:C43"/>
    <mergeCell ref="B44:C44"/>
    <mergeCell ref="D40:D41"/>
    <mergeCell ref="E40:E41"/>
    <mergeCell ref="F40:F41"/>
    <mergeCell ref="G40:G41"/>
    <mergeCell ref="H40:H41"/>
    <mergeCell ref="I40:I41"/>
    <mergeCell ref="A29:A33"/>
    <mergeCell ref="B29:B33"/>
    <mergeCell ref="A34:A38"/>
    <mergeCell ref="B34:B38"/>
    <mergeCell ref="A40:A41"/>
    <mergeCell ref="B40:C41"/>
    <mergeCell ref="A14:A18"/>
    <mergeCell ref="B14:B18"/>
    <mergeCell ref="A19:A23"/>
    <mergeCell ref="B19:B23"/>
    <mergeCell ref="A24:A28"/>
    <mergeCell ref="B24:B28"/>
    <mergeCell ref="B8:C8"/>
    <mergeCell ref="B9:C9"/>
    <mergeCell ref="A11:A13"/>
    <mergeCell ref="B11:C13"/>
    <mergeCell ref="D11:U11"/>
    <mergeCell ref="D12:D13"/>
    <mergeCell ref="E12:U12"/>
    <mergeCell ref="D4:U4"/>
    <mergeCell ref="A5:A7"/>
    <mergeCell ref="B5:C7"/>
    <mergeCell ref="D5:L5"/>
    <mergeCell ref="D6:E6"/>
    <mergeCell ref="F6:G6"/>
    <mergeCell ref="H6:I6"/>
    <mergeCell ref="J6:K6"/>
    <mergeCell ref="L6:M6"/>
    <mergeCell ref="A1:C1"/>
    <mergeCell ref="D1:P1"/>
    <mergeCell ref="A2:C2"/>
    <mergeCell ref="D2:P2"/>
    <mergeCell ref="A3:C3"/>
    <mergeCell ref="D3:P3"/>
  </mergeCells>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3"/>
  <sheetViews>
    <sheetView showZeros="0" topLeftCell="A37" workbookViewId="0">
      <selection activeCell="E37" sqref="E37:O37"/>
    </sheetView>
  </sheetViews>
  <sheetFormatPr defaultRowHeight="15" x14ac:dyDescent="0.25"/>
  <cols>
    <col min="1" max="1" width="17.85546875" customWidth="1"/>
    <col min="2" max="18" width="6.85546875" customWidth="1"/>
    <col min="21" max="21" width="6.7109375" customWidth="1"/>
    <col min="22" max="25" width="4" customWidth="1"/>
    <col min="26" max="26" width="4.5703125" customWidth="1"/>
  </cols>
  <sheetData>
    <row r="1" spans="1:32" ht="15.75" x14ac:dyDescent="0.25">
      <c r="A1" s="925" t="s">
        <v>1235</v>
      </c>
      <c r="B1" s="925"/>
      <c r="C1" s="925"/>
      <c r="D1" s="925"/>
      <c r="E1" s="531" t="s">
        <v>1250</v>
      </c>
      <c r="F1" s="926" t="s">
        <v>1251</v>
      </c>
      <c r="G1" s="926"/>
      <c r="H1" s="926"/>
      <c r="I1" s="926"/>
      <c r="J1" s="926"/>
      <c r="K1" s="926"/>
      <c r="L1" s="926"/>
      <c r="M1" s="926"/>
    </row>
    <row r="2" spans="1:32" ht="15.75" x14ac:dyDescent="0.25">
      <c r="A2" s="926" t="s">
        <v>1189</v>
      </c>
      <c r="B2" s="926"/>
      <c r="C2" s="926"/>
      <c r="D2" s="926"/>
      <c r="G2" s="926" t="s">
        <v>1252</v>
      </c>
      <c r="H2" s="926"/>
      <c r="I2" s="926"/>
      <c r="J2" s="926"/>
      <c r="K2" s="926"/>
      <c r="L2" s="926"/>
      <c r="T2" s="562"/>
      <c r="U2" s="562"/>
      <c r="V2" s="562"/>
    </row>
    <row r="4" spans="1:32" ht="15.75" x14ac:dyDescent="0.25">
      <c r="A4" s="925"/>
      <c r="B4" s="925"/>
      <c r="C4" s="925"/>
      <c r="D4" s="529"/>
      <c r="E4" s="529"/>
      <c r="F4" s="927" t="str">
        <f>KHPTrien!I22</f>
        <v>Vĩnh Thạnh Trung, ngày 10 tháng 02 năm 2020</v>
      </c>
      <c r="G4" s="927"/>
      <c r="H4" s="927"/>
      <c r="I4" s="927"/>
      <c r="J4" s="927"/>
      <c r="K4" s="927"/>
      <c r="L4" s="927"/>
    </row>
    <row r="5" spans="1:32" ht="18.75" x14ac:dyDescent="0.3">
      <c r="A5" s="932" t="s">
        <v>1253</v>
      </c>
      <c r="B5" s="932"/>
      <c r="C5" s="932"/>
      <c r="D5" s="932"/>
      <c r="E5" s="932"/>
      <c r="F5" s="932"/>
      <c r="G5" s="932"/>
      <c r="H5" s="932"/>
      <c r="I5" s="932"/>
      <c r="J5" s="932"/>
      <c r="K5" s="932"/>
      <c r="L5" s="932"/>
      <c r="M5" s="932"/>
      <c r="N5" s="932"/>
      <c r="O5" s="932"/>
      <c r="P5" s="932"/>
      <c r="Q5" s="932"/>
      <c r="R5" s="932"/>
    </row>
    <row r="6" spans="1:32" ht="15.75" x14ac:dyDescent="0.25">
      <c r="A6" s="925" t="s">
        <v>1319</v>
      </c>
      <c r="B6" s="925"/>
      <c r="C6" s="925"/>
      <c r="D6" s="925"/>
      <c r="E6" s="925"/>
      <c r="F6" s="925"/>
      <c r="G6" s="925"/>
      <c r="H6" s="925"/>
      <c r="I6" s="925"/>
      <c r="J6" s="925"/>
      <c r="K6" s="925"/>
      <c r="L6" s="925"/>
      <c r="M6" s="925"/>
      <c r="N6" s="925"/>
      <c r="O6" s="925"/>
      <c r="P6" s="925"/>
      <c r="Q6" s="925"/>
      <c r="R6" s="925"/>
      <c r="AF6" s="563"/>
    </row>
    <row r="7" spans="1:32" ht="15.75" x14ac:dyDescent="0.25">
      <c r="A7" s="532"/>
      <c r="V7" s="562"/>
      <c r="W7" s="562"/>
      <c r="X7" s="562"/>
      <c r="Y7" s="562"/>
      <c r="AF7" s="563"/>
    </row>
    <row r="8" spans="1:32" ht="15.75" x14ac:dyDescent="0.25">
      <c r="A8" s="531" t="s">
        <v>1320</v>
      </c>
      <c r="I8" s="529"/>
      <c r="U8" s="562"/>
      <c r="AB8" s="563"/>
      <c r="AC8" s="562"/>
      <c r="AD8" s="563"/>
      <c r="AF8" s="563"/>
    </row>
    <row r="9" spans="1:32" ht="21" customHeight="1" thickBot="1" x14ac:dyDescent="0.3">
      <c r="A9" t="s">
        <v>1254</v>
      </c>
      <c r="B9" s="564">
        <f>SUM(Q10,E10,I10,M10)</f>
        <v>36</v>
      </c>
      <c r="C9" t="s">
        <v>1255</v>
      </c>
      <c r="D9" t="s">
        <v>1206</v>
      </c>
      <c r="F9" s="564">
        <f>SUM(D12,F12,H12,J12,L12,N12,P12,R12)</f>
        <v>1449</v>
      </c>
      <c r="G9" t="s">
        <v>1256</v>
      </c>
      <c r="U9" s="562"/>
      <c r="AB9" s="563"/>
      <c r="AD9" s="563"/>
      <c r="AF9" s="563"/>
    </row>
    <row r="10" spans="1:32" ht="16.5" customHeight="1" x14ac:dyDescent="0.25">
      <c r="A10" s="933" t="s">
        <v>1257</v>
      </c>
      <c r="B10" s="934"/>
      <c r="C10" s="935" t="s">
        <v>1258</v>
      </c>
      <c r="D10" s="936"/>
      <c r="E10" s="626">
        <f>DulieuXDKH!R39</f>
        <v>10</v>
      </c>
      <c r="F10" s="565" t="s">
        <v>1255</v>
      </c>
      <c r="G10" s="935" t="s">
        <v>1259</v>
      </c>
      <c r="H10" s="936"/>
      <c r="I10" s="626">
        <f>DulieuXDKH!R40</f>
        <v>9</v>
      </c>
      <c r="J10" s="565" t="s">
        <v>1255</v>
      </c>
      <c r="K10" s="935" t="s">
        <v>1260</v>
      </c>
      <c r="L10" s="936"/>
      <c r="M10" s="626">
        <f>DulieuXDKH!R41</f>
        <v>9</v>
      </c>
      <c r="N10" s="565" t="s">
        <v>1255</v>
      </c>
      <c r="O10" s="935" t="s">
        <v>1261</v>
      </c>
      <c r="P10" s="936"/>
      <c r="Q10" s="626">
        <f>DulieuXDKH!R42</f>
        <v>8</v>
      </c>
      <c r="R10" s="565" t="s">
        <v>1255</v>
      </c>
      <c r="U10" s="562"/>
      <c r="AB10" s="563"/>
      <c r="AD10" s="563"/>
      <c r="AF10" s="566"/>
    </row>
    <row r="11" spans="1:32" ht="15.75" x14ac:dyDescent="0.25">
      <c r="A11" s="928" t="s">
        <v>561</v>
      </c>
      <c r="B11" s="929"/>
      <c r="C11" s="567" t="s">
        <v>1262</v>
      </c>
      <c r="D11" s="570">
        <f>Nhucauvieclam!D8</f>
        <v>10</v>
      </c>
      <c r="E11" s="567" t="s">
        <v>1263</v>
      </c>
      <c r="F11" s="568"/>
      <c r="G11" s="567" t="s">
        <v>1262</v>
      </c>
      <c r="H11" s="570">
        <f>Nhucauvieclam!F8</f>
        <v>9</v>
      </c>
      <c r="I11" s="567" t="s">
        <v>1263</v>
      </c>
      <c r="J11" s="567"/>
      <c r="K11" s="567" t="s">
        <v>1262</v>
      </c>
      <c r="L11" s="570">
        <f>Nhucauvieclam!H8</f>
        <v>9</v>
      </c>
      <c r="M11" s="567" t="s">
        <v>1263</v>
      </c>
      <c r="N11" s="567"/>
      <c r="O11" s="567" t="s">
        <v>1262</v>
      </c>
      <c r="P11" s="570">
        <f>Nhucauvieclam!J8</f>
        <v>8</v>
      </c>
      <c r="Q11" s="567" t="s">
        <v>1263</v>
      </c>
      <c r="R11" s="569"/>
      <c r="U11" s="562"/>
      <c r="AB11" s="563"/>
      <c r="AC11" s="562"/>
      <c r="AD11" s="566"/>
      <c r="AF11" s="566"/>
    </row>
    <row r="12" spans="1:32" ht="15.75" x14ac:dyDescent="0.25">
      <c r="A12" s="928" t="s">
        <v>1206</v>
      </c>
      <c r="B12" s="929"/>
      <c r="C12" s="567" t="s">
        <v>1262</v>
      </c>
      <c r="D12" s="570">
        <f>KHPTrien!D18</f>
        <v>419</v>
      </c>
      <c r="E12" s="567" t="s">
        <v>1263</v>
      </c>
      <c r="F12" s="568"/>
      <c r="G12" s="567" t="s">
        <v>1262</v>
      </c>
      <c r="H12" s="570">
        <f>KHPTrien!E18</f>
        <v>393</v>
      </c>
      <c r="I12" s="567" t="s">
        <v>1263</v>
      </c>
      <c r="J12" s="567"/>
      <c r="K12" s="567" t="s">
        <v>1262</v>
      </c>
      <c r="L12" s="570">
        <f>KHPTrien!F18</f>
        <v>342</v>
      </c>
      <c r="M12" s="567" t="s">
        <v>1263</v>
      </c>
      <c r="N12" s="567"/>
      <c r="O12" s="567" t="s">
        <v>1262</v>
      </c>
      <c r="P12" s="570">
        <f>KHPTrien!G18</f>
        <v>295</v>
      </c>
      <c r="Q12" s="567" t="s">
        <v>1263</v>
      </c>
      <c r="R12" s="569"/>
      <c r="U12" s="562"/>
      <c r="AB12" s="563"/>
      <c r="AD12" s="566"/>
      <c r="AF12" s="566"/>
    </row>
    <row r="13" spans="1:32" ht="16.5" customHeight="1" thickBot="1" x14ac:dyDescent="0.3">
      <c r="A13" s="930" t="s">
        <v>1015</v>
      </c>
      <c r="B13" s="931"/>
      <c r="C13" s="571" t="s">
        <v>1264</v>
      </c>
      <c r="D13" s="572"/>
      <c r="E13" s="573">
        <f>SUM(D12,F12)</f>
        <v>419</v>
      </c>
      <c r="F13" s="574" t="s">
        <v>1256</v>
      </c>
      <c r="G13" s="571" t="s">
        <v>1265</v>
      </c>
      <c r="H13" s="572"/>
      <c r="I13" s="573">
        <f>SUM(H12,J12)</f>
        <v>393</v>
      </c>
      <c r="J13" s="574" t="s">
        <v>1256</v>
      </c>
      <c r="K13" s="571" t="s">
        <v>1266</v>
      </c>
      <c r="L13" s="572"/>
      <c r="M13" s="573">
        <f>SUM(L12,N12)</f>
        <v>342</v>
      </c>
      <c r="N13" s="574" t="s">
        <v>1256</v>
      </c>
      <c r="O13" s="571" t="s">
        <v>1267</v>
      </c>
      <c r="P13" s="572"/>
      <c r="Q13" s="573">
        <f>SUM(P12,R12)</f>
        <v>295</v>
      </c>
      <c r="R13" s="575" t="s">
        <v>1256</v>
      </c>
      <c r="U13" s="562"/>
      <c r="AB13" s="563"/>
      <c r="AD13" s="563"/>
      <c r="AF13" s="563"/>
    </row>
    <row r="14" spans="1:32" ht="15.75" x14ac:dyDescent="0.25">
      <c r="A14" s="529"/>
      <c r="U14" s="562"/>
      <c r="AB14" s="563"/>
      <c r="AD14" s="563"/>
      <c r="AF14" s="563"/>
    </row>
    <row r="15" spans="1:32" ht="16.5" thickBot="1" x14ac:dyDescent="0.3">
      <c r="A15" s="531" t="s">
        <v>1268</v>
      </c>
      <c r="U15" s="562"/>
      <c r="AB15" s="563"/>
      <c r="AD15" s="563"/>
      <c r="AF15" s="563"/>
    </row>
    <row r="16" spans="1:32" ht="36" customHeight="1" x14ac:dyDescent="0.25">
      <c r="A16" s="576" t="s">
        <v>1269</v>
      </c>
      <c r="B16" s="577" t="s">
        <v>944</v>
      </c>
      <c r="C16" s="577" t="s">
        <v>943</v>
      </c>
      <c r="D16" s="577" t="s">
        <v>947</v>
      </c>
      <c r="E16" s="577" t="s">
        <v>953</v>
      </c>
      <c r="F16" s="577" t="s">
        <v>946</v>
      </c>
      <c r="G16" s="577" t="s">
        <v>948</v>
      </c>
      <c r="H16" s="577" t="s">
        <v>949</v>
      </c>
      <c r="I16" s="578" t="s">
        <v>1054</v>
      </c>
      <c r="J16" s="577" t="s">
        <v>1262</v>
      </c>
      <c r="K16" s="577" t="s">
        <v>1263</v>
      </c>
      <c r="L16" s="578" t="s">
        <v>1060</v>
      </c>
      <c r="M16" s="578" t="s">
        <v>1061</v>
      </c>
      <c r="N16" s="577" t="s">
        <v>1062</v>
      </c>
      <c r="O16" s="577" t="s">
        <v>951</v>
      </c>
      <c r="P16" s="577" t="s">
        <v>1270</v>
      </c>
      <c r="Q16" s="577" t="s">
        <v>954</v>
      </c>
      <c r="R16" s="577" t="s">
        <v>955</v>
      </c>
      <c r="AB16" s="563"/>
      <c r="AD16" s="563"/>
      <c r="AF16" s="563"/>
    </row>
    <row r="17" spans="1:32" ht="21.75" customHeight="1" x14ac:dyDescent="0.35">
      <c r="A17" s="579" t="s">
        <v>4</v>
      </c>
      <c r="B17" s="580"/>
      <c r="C17" s="580"/>
      <c r="D17" s="580"/>
      <c r="E17" s="580"/>
      <c r="F17" s="580"/>
      <c r="G17" s="580"/>
      <c r="H17" s="580"/>
      <c r="I17" s="580"/>
      <c r="J17" s="580"/>
      <c r="K17" s="580"/>
      <c r="L17" s="580"/>
      <c r="M17" s="580"/>
      <c r="N17" s="580"/>
      <c r="O17" s="580"/>
      <c r="P17" s="580"/>
      <c r="Q17" s="580"/>
      <c r="R17" s="581"/>
      <c r="AB17" s="563"/>
      <c r="AD17" s="563"/>
      <c r="AF17" s="563"/>
    </row>
    <row r="18" spans="1:32" ht="21.75" customHeight="1" x14ac:dyDescent="0.25">
      <c r="A18" s="579" t="s">
        <v>1271</v>
      </c>
      <c r="B18" s="582">
        <f>Nhucauvieclam!K14</f>
        <v>1</v>
      </c>
      <c r="C18" s="635">
        <f>Nhucauvieclam!L14</f>
        <v>1</v>
      </c>
      <c r="D18" s="635">
        <f>Nhucauvieclam!M14</f>
        <v>0</v>
      </c>
      <c r="E18" s="635">
        <f>Nhucauvieclam!N14</f>
        <v>0</v>
      </c>
      <c r="F18" s="635">
        <f>Nhucauvieclam!E14</f>
        <v>0</v>
      </c>
      <c r="G18" s="635">
        <f>Nhucauvieclam!F14</f>
        <v>0</v>
      </c>
      <c r="H18" s="635">
        <f>Nhucauvieclam!G14</f>
        <v>0</v>
      </c>
      <c r="I18" s="635">
        <f>Nhucauvieclam!H14</f>
        <v>0</v>
      </c>
      <c r="J18" s="635">
        <f>Nhucauvieclam!I14</f>
        <v>0</v>
      </c>
      <c r="K18" s="635">
        <f>Nhucauvieclam!J14</f>
        <v>0</v>
      </c>
      <c r="L18" s="635">
        <f>Nhucauvieclam!U14</f>
        <v>0</v>
      </c>
      <c r="M18" s="635">
        <f>Nhucauvieclam!V14</f>
        <v>0</v>
      </c>
      <c r="N18" s="635">
        <f>Nhucauvieclam!W14</f>
        <v>0</v>
      </c>
      <c r="O18" s="635">
        <f>Nhucauvieclam!X14</f>
        <v>0</v>
      </c>
      <c r="P18" s="635">
        <f>Nhucauvieclam!Y14</f>
        <v>0</v>
      </c>
      <c r="Q18" s="635">
        <f>Nhucauvieclam!Z14</f>
        <v>0</v>
      </c>
      <c r="R18" s="635">
        <f>Nhucauvieclam!AA14</f>
        <v>0</v>
      </c>
      <c r="AB18" s="563"/>
      <c r="AD18" s="563"/>
      <c r="AF18" s="563"/>
    </row>
    <row r="19" spans="1:32" ht="21.75" customHeight="1" x14ac:dyDescent="0.25">
      <c r="A19" s="579" t="s">
        <v>1272</v>
      </c>
      <c r="B19" s="582">
        <f>Nhucauvieclam!K15</f>
        <v>10</v>
      </c>
      <c r="C19" s="635">
        <f>Nhucauvieclam!L15</f>
        <v>5</v>
      </c>
      <c r="D19" s="635">
        <f>Nhucauvieclam!M15</f>
        <v>3</v>
      </c>
      <c r="E19" s="635">
        <f>Nhucauvieclam!N15</f>
        <v>4</v>
      </c>
      <c r="F19" s="635">
        <f>Nhucauvieclam!E15</f>
        <v>10</v>
      </c>
      <c r="G19" s="635">
        <f>Nhucauvieclam!F15</f>
        <v>4</v>
      </c>
      <c r="H19" s="635">
        <f>Nhucauvieclam!G15</f>
        <v>4</v>
      </c>
      <c r="I19" s="635">
        <f>Nhucauvieclam!H15</f>
        <v>2</v>
      </c>
      <c r="J19" s="635">
        <f>Nhucauvieclam!I15</f>
        <v>6</v>
      </c>
      <c r="K19" s="635">
        <f>Nhucauvieclam!J15</f>
        <v>0</v>
      </c>
      <c r="L19" s="635">
        <f>Nhucauvieclam!O15</f>
        <v>1</v>
      </c>
      <c r="M19" s="635">
        <f>Nhucauvieclam!P15</f>
        <v>2</v>
      </c>
      <c r="N19" s="635">
        <f>Nhucauvieclam!Q15</f>
        <v>1</v>
      </c>
      <c r="O19" s="635">
        <f>Nhucauvieclam!R15</f>
        <v>3</v>
      </c>
      <c r="P19" s="635">
        <f>Nhucauvieclam!S15</f>
        <v>4</v>
      </c>
      <c r="Q19" s="635">
        <f>Nhucauvieclam!T15</f>
        <v>2</v>
      </c>
      <c r="R19" s="635">
        <f>Nhucauvieclam!U15</f>
        <v>2</v>
      </c>
      <c r="AB19" s="563"/>
      <c r="AD19" s="566"/>
      <c r="AF19" s="563"/>
    </row>
    <row r="20" spans="1:32" ht="18.75" customHeight="1" x14ac:dyDescent="0.25">
      <c r="A20" s="579" t="s">
        <v>1273</v>
      </c>
      <c r="B20" s="582">
        <f>Nhucauvieclam!K16</f>
        <v>0</v>
      </c>
      <c r="C20" s="635">
        <f>Nhucauvieclam!L16</f>
        <v>0</v>
      </c>
      <c r="D20" s="635">
        <f>Nhucauvieclam!M16</f>
        <v>0</v>
      </c>
      <c r="E20" s="635">
        <f>Nhucauvieclam!N16</f>
        <v>0</v>
      </c>
      <c r="F20" s="635">
        <f>Nhucauvieclam!E16</f>
        <v>1</v>
      </c>
      <c r="G20" s="635">
        <f>Nhucauvieclam!F16</f>
        <v>0</v>
      </c>
      <c r="H20" s="635">
        <f>Nhucauvieclam!G16</f>
        <v>0</v>
      </c>
      <c r="I20" s="635">
        <f>Nhucauvieclam!H16</f>
        <v>0</v>
      </c>
      <c r="J20" s="635">
        <f>Nhucauvieclam!I16</f>
        <v>0</v>
      </c>
      <c r="K20" s="635">
        <f>Nhucauvieclam!J16</f>
        <v>0</v>
      </c>
      <c r="L20" s="635">
        <f>Nhucauvieclam!O16</f>
        <v>0</v>
      </c>
      <c r="M20" s="635">
        <f>Nhucauvieclam!P16</f>
        <v>0</v>
      </c>
      <c r="N20" s="635">
        <f>Nhucauvieclam!Q16</f>
        <v>0</v>
      </c>
      <c r="O20" s="635">
        <f>Nhucauvieclam!R16</f>
        <v>0</v>
      </c>
      <c r="P20" s="635">
        <f>Nhucauvieclam!S16</f>
        <v>0</v>
      </c>
      <c r="Q20" s="635">
        <f>Nhucauvieclam!T16</f>
        <v>0</v>
      </c>
      <c r="R20" s="635">
        <f>Nhucauvieclam!U16</f>
        <v>0</v>
      </c>
      <c r="U20" s="562"/>
      <c r="AB20" s="563"/>
      <c r="AD20" s="566"/>
      <c r="AF20" s="563"/>
    </row>
    <row r="21" spans="1:32" ht="18.75" customHeight="1" x14ac:dyDescent="0.25">
      <c r="A21" s="579" t="s">
        <v>1274</v>
      </c>
      <c r="B21" s="582"/>
      <c r="C21" s="582"/>
      <c r="D21" s="582"/>
      <c r="E21" s="582"/>
      <c r="F21" s="582"/>
      <c r="G21" s="582"/>
      <c r="H21" s="582"/>
      <c r="I21" s="582"/>
      <c r="J21" s="582"/>
      <c r="K21" s="582"/>
      <c r="L21" s="582"/>
      <c r="M21" s="582"/>
      <c r="N21" s="582"/>
      <c r="O21" s="582"/>
      <c r="P21" s="582"/>
      <c r="Q21" s="583"/>
      <c r="R21" s="584"/>
      <c r="U21" s="562"/>
      <c r="AB21" s="563"/>
      <c r="AD21" s="566"/>
      <c r="AF21" s="563"/>
    </row>
    <row r="22" spans="1:32" ht="18.75" customHeight="1" x14ac:dyDescent="0.25">
      <c r="A22" s="579" t="s">
        <v>1275</v>
      </c>
      <c r="B22" s="582"/>
      <c r="C22" s="582"/>
      <c r="D22" s="582"/>
      <c r="E22" s="582"/>
      <c r="F22" s="582"/>
      <c r="G22" s="582"/>
      <c r="H22" s="582"/>
      <c r="I22" s="582"/>
      <c r="J22" s="582"/>
      <c r="K22" s="582"/>
      <c r="L22" s="582"/>
      <c r="M22" s="582"/>
      <c r="N22" s="582"/>
      <c r="O22" s="582"/>
      <c r="P22" s="582"/>
      <c r="Q22" s="583"/>
      <c r="R22" s="584"/>
      <c r="U22" s="562"/>
      <c r="AB22" s="563"/>
      <c r="AD22" s="566"/>
      <c r="AF22" s="566"/>
    </row>
    <row r="23" spans="1:32" ht="18.75" customHeight="1" x14ac:dyDescent="0.25">
      <c r="A23" s="579" t="s">
        <v>1276</v>
      </c>
      <c r="B23" s="586">
        <f>Nhucauvieclam!D17</f>
        <v>0</v>
      </c>
      <c r="C23" s="582"/>
      <c r="D23" s="582"/>
      <c r="E23" s="582"/>
      <c r="F23" s="582"/>
      <c r="G23" s="582"/>
      <c r="H23" s="582"/>
      <c r="I23" s="582"/>
      <c r="J23" s="582"/>
      <c r="K23" s="582"/>
      <c r="L23" s="582"/>
      <c r="M23" s="582"/>
      <c r="N23" s="582"/>
      <c r="O23" s="582"/>
      <c r="P23" s="582"/>
      <c r="Q23" s="583"/>
      <c r="R23" s="584"/>
      <c r="U23" s="562"/>
      <c r="AB23" s="566"/>
      <c r="AD23" s="566"/>
      <c r="AF23" s="566"/>
    </row>
    <row r="24" spans="1:32" ht="18.75" customHeight="1" x14ac:dyDescent="0.25">
      <c r="A24" s="579" t="s">
        <v>1277</v>
      </c>
      <c r="B24" s="586">
        <f>Nhucauvieclam!G42</f>
        <v>1</v>
      </c>
      <c r="C24" s="582"/>
      <c r="D24" s="582"/>
      <c r="E24" s="582"/>
      <c r="F24" s="582"/>
      <c r="G24" s="582"/>
      <c r="H24" s="582"/>
      <c r="I24" s="582"/>
      <c r="J24" s="582"/>
      <c r="K24" s="582"/>
      <c r="L24" s="582"/>
      <c r="M24" s="582"/>
      <c r="N24" s="582"/>
      <c r="O24" s="582"/>
      <c r="P24" s="582"/>
      <c r="Q24" s="583"/>
      <c r="R24" s="584"/>
      <c r="AB24" s="566"/>
      <c r="AD24" s="566"/>
      <c r="AF24" s="563"/>
    </row>
    <row r="25" spans="1:32" ht="18.75" customHeight="1" x14ac:dyDescent="0.25">
      <c r="A25" s="579" t="s">
        <v>1278</v>
      </c>
      <c r="B25" s="586">
        <f>Nhucauvieclam!I42</f>
        <v>1</v>
      </c>
      <c r="C25" s="582"/>
      <c r="D25" s="582"/>
      <c r="E25" s="582"/>
      <c r="F25" s="582"/>
      <c r="G25" s="582"/>
      <c r="H25" s="582"/>
      <c r="I25" s="582"/>
      <c r="J25" s="582"/>
      <c r="K25" s="582"/>
      <c r="L25" s="582"/>
      <c r="M25" s="582"/>
      <c r="N25" s="582"/>
      <c r="O25" s="582"/>
      <c r="P25" s="582"/>
      <c r="Q25" s="583"/>
      <c r="R25" s="584"/>
      <c r="AB25" s="566"/>
      <c r="AD25" s="566"/>
      <c r="AF25" s="563"/>
    </row>
    <row r="26" spans="1:32" ht="18.75" customHeight="1" x14ac:dyDescent="0.25">
      <c r="A26" s="579" t="s">
        <v>1279</v>
      </c>
      <c r="B26" s="586">
        <f>Nhucauvieclam!E42</f>
        <v>1</v>
      </c>
      <c r="C26" s="582"/>
      <c r="D26" s="582"/>
      <c r="E26" s="582"/>
      <c r="F26" s="582"/>
      <c r="G26" s="582"/>
      <c r="H26" s="582"/>
      <c r="I26" s="582"/>
      <c r="J26" s="582"/>
      <c r="K26" s="582"/>
      <c r="L26" s="582"/>
      <c r="M26" s="582"/>
      <c r="N26" s="582"/>
      <c r="O26" s="582"/>
      <c r="P26" s="582"/>
      <c r="Q26" s="583"/>
      <c r="R26" s="584"/>
      <c r="AB26" s="566"/>
      <c r="AD26" s="566"/>
      <c r="AF26" s="563"/>
    </row>
    <row r="27" spans="1:32" ht="18.75" customHeight="1" x14ac:dyDescent="0.25">
      <c r="A27" s="579" t="s">
        <v>1280</v>
      </c>
      <c r="B27" s="586">
        <f>Nhucauvieclam!J42</f>
        <v>0</v>
      </c>
      <c r="C27" s="582"/>
      <c r="D27" s="582"/>
      <c r="E27" s="582"/>
      <c r="F27" s="582"/>
      <c r="G27" s="582"/>
      <c r="H27" s="582"/>
      <c r="I27" s="582"/>
      <c r="J27" s="582"/>
      <c r="K27" s="582"/>
      <c r="L27" s="582"/>
      <c r="M27" s="582"/>
      <c r="N27" s="582"/>
      <c r="O27" s="582"/>
      <c r="P27" s="582"/>
      <c r="Q27" s="583"/>
      <c r="R27" s="584"/>
      <c r="AB27" s="566"/>
      <c r="AD27" s="566"/>
      <c r="AF27" s="566"/>
    </row>
    <row r="28" spans="1:32" ht="18.75" customHeight="1" x14ac:dyDescent="0.25">
      <c r="A28" s="579" t="s">
        <v>1281</v>
      </c>
      <c r="B28" s="586">
        <f>Nhucauvieclam!K42</f>
        <v>1</v>
      </c>
      <c r="C28" s="582"/>
      <c r="D28" s="582"/>
      <c r="E28" s="582"/>
      <c r="F28" s="582"/>
      <c r="G28" s="582"/>
      <c r="H28" s="582"/>
      <c r="I28" s="582"/>
      <c r="J28" s="582"/>
      <c r="K28" s="582"/>
      <c r="L28" s="582"/>
      <c r="M28" s="582"/>
      <c r="N28" s="582"/>
      <c r="O28" s="582"/>
      <c r="P28" s="582"/>
      <c r="Q28" s="583"/>
      <c r="R28" s="584"/>
      <c r="AB28" s="566"/>
      <c r="AC28" s="562"/>
      <c r="AD28" s="566"/>
      <c r="AF28" s="566"/>
    </row>
    <row r="29" spans="1:32" ht="18.75" customHeight="1" thickBot="1" x14ac:dyDescent="0.3">
      <c r="A29" s="587" t="s">
        <v>1282</v>
      </c>
      <c r="B29" s="588">
        <f>Nhucauvieclam!H42</f>
        <v>1</v>
      </c>
      <c r="C29" s="589"/>
      <c r="D29" s="589"/>
      <c r="E29" s="589"/>
      <c r="F29" s="589"/>
      <c r="G29" s="589"/>
      <c r="H29" s="589"/>
      <c r="I29" s="589"/>
      <c r="J29" s="589"/>
      <c r="K29" s="589"/>
      <c r="L29" s="589"/>
      <c r="M29" s="589"/>
      <c r="N29" s="589"/>
      <c r="O29" s="589"/>
      <c r="P29" s="589"/>
      <c r="Q29" s="590"/>
      <c r="R29" s="591"/>
      <c r="AB29" s="563"/>
      <c r="AD29" s="566"/>
      <c r="AF29" s="566"/>
    </row>
    <row r="30" spans="1:32" ht="15.75" x14ac:dyDescent="0.25">
      <c r="A30" s="531" t="s">
        <v>1283</v>
      </c>
      <c r="AB30" s="563"/>
      <c r="AD30" s="566"/>
      <c r="AF30" s="566"/>
    </row>
    <row r="31" spans="1:32" ht="16.5" thickBot="1" x14ac:dyDescent="0.3">
      <c r="A31" s="529"/>
      <c r="AB31" s="563"/>
      <c r="AC31" s="562"/>
      <c r="AD31" s="566"/>
      <c r="AF31" s="563"/>
    </row>
    <row r="32" spans="1:32" ht="15.75" x14ac:dyDescent="0.25">
      <c r="A32" s="592" t="s">
        <v>942</v>
      </c>
      <c r="B32" s="593" t="s">
        <v>944</v>
      </c>
      <c r="C32" s="593" t="s">
        <v>943</v>
      </c>
      <c r="D32" s="593" t="s">
        <v>947</v>
      </c>
      <c r="E32" s="593" t="s">
        <v>953</v>
      </c>
      <c r="F32" s="593" t="s">
        <v>946</v>
      </c>
      <c r="G32" s="593" t="s">
        <v>948</v>
      </c>
      <c r="H32" s="593" t="s">
        <v>949</v>
      </c>
      <c r="I32" s="578" t="s">
        <v>1054</v>
      </c>
      <c r="J32" s="593" t="s">
        <v>1262</v>
      </c>
      <c r="K32" s="593" t="s">
        <v>1263</v>
      </c>
      <c r="L32" s="578" t="s">
        <v>1060</v>
      </c>
      <c r="M32" s="578" t="s">
        <v>1061</v>
      </c>
      <c r="N32" s="577" t="s">
        <v>1062</v>
      </c>
      <c r="O32" s="577" t="s">
        <v>951</v>
      </c>
      <c r="P32" s="577" t="s">
        <v>1270</v>
      </c>
      <c r="Q32" s="577" t="s">
        <v>954</v>
      </c>
      <c r="R32" s="577" t="s">
        <v>955</v>
      </c>
      <c r="AB32" s="563"/>
      <c r="AC32" s="562"/>
      <c r="AD32" s="563"/>
      <c r="AE32" s="562"/>
      <c r="AF32" s="563"/>
    </row>
    <row r="33" spans="1:32" ht="33.75" customHeight="1" x14ac:dyDescent="0.25">
      <c r="A33" s="579" t="s">
        <v>1284</v>
      </c>
      <c r="B33" s="585">
        <f>DulieuXDKH!$U19</f>
        <v>144</v>
      </c>
      <c r="C33" s="585">
        <f>DulieuXDKH!$U20</f>
        <v>44</v>
      </c>
      <c r="D33" s="585">
        <f>DulieuXDKH!$U21</f>
        <v>34</v>
      </c>
      <c r="E33" s="585">
        <f>DulieuXDKH!$U22</f>
        <v>72</v>
      </c>
      <c r="F33" s="585">
        <f>DulieuXDKH!$U13</f>
        <v>152</v>
      </c>
      <c r="G33" s="585">
        <f>DulieuXDKH!$U14</f>
        <v>62</v>
      </c>
      <c r="H33" s="585">
        <f>DulieuXDKH!$U15</f>
        <v>62</v>
      </c>
      <c r="I33" s="585">
        <f>DulieuXDKH!$U16</f>
        <v>36</v>
      </c>
      <c r="J33" s="585">
        <f>DulieuXDKH!$U17</f>
        <v>100</v>
      </c>
      <c r="K33" s="585"/>
      <c r="L33" s="585">
        <f>DulieuXDKH!$U23</f>
        <v>18</v>
      </c>
      <c r="M33" s="585">
        <f>DulieuXDKH!$U24</f>
        <v>34</v>
      </c>
      <c r="N33" s="585">
        <f>DulieuXDKH!$U25</f>
        <v>20</v>
      </c>
      <c r="O33" s="585">
        <f>DulieuXDKH!$U26</f>
        <v>72</v>
      </c>
      <c r="P33" s="585">
        <f>DulieuXDKH!$U27</f>
        <v>72</v>
      </c>
      <c r="Q33" s="585">
        <f>DulieuXDKH!$U28</f>
        <v>36</v>
      </c>
      <c r="R33" s="585">
        <f>DulieuXDKH!$U29</f>
        <v>36</v>
      </c>
      <c r="AB33" s="566"/>
      <c r="AC33" s="562"/>
      <c r="AD33" s="563"/>
      <c r="AE33" s="562"/>
      <c r="AF33" s="563"/>
    </row>
    <row r="34" spans="1:32" ht="33.75" customHeight="1" x14ac:dyDescent="0.25">
      <c r="A34" s="579" t="s">
        <v>1285</v>
      </c>
      <c r="B34" s="585">
        <f>DulieuXDKH!$AD19</f>
        <v>194</v>
      </c>
      <c r="C34" s="585">
        <f>DulieuXDKH!$AD20</f>
        <v>95</v>
      </c>
      <c r="D34" s="585">
        <f>DulieuXDKH!$AD21</f>
        <v>57</v>
      </c>
      <c r="E34" s="585">
        <f>DulieuXDKH!$AD22</f>
        <v>73</v>
      </c>
      <c r="F34" s="585">
        <f>DulieuXDKH!$AD13</f>
        <v>190</v>
      </c>
      <c r="G34" s="585">
        <f>DulieuXDKH!$AD14</f>
        <v>76</v>
      </c>
      <c r="H34" s="585">
        <f>DulieuXDKH!$AD15</f>
        <v>80</v>
      </c>
      <c r="I34" s="585">
        <f>DulieuXDKH!$AD16</f>
        <v>38</v>
      </c>
      <c r="J34" s="585">
        <f>DulieuXDKH!$AD17</f>
        <v>114</v>
      </c>
      <c r="K34" s="585"/>
      <c r="L34" s="585">
        <f>DulieuXDKH!$AD23</f>
        <v>19</v>
      </c>
      <c r="M34" s="585">
        <f>DulieuXDKH!$AD24</f>
        <v>38</v>
      </c>
      <c r="N34" s="585">
        <f>DulieuXDKH!$AD25</f>
        <v>21</v>
      </c>
      <c r="O34" s="585">
        <f>DulieuXDKH!$AD26</f>
        <v>57</v>
      </c>
      <c r="P34" s="585">
        <f>DulieuXDKH!$AD27</f>
        <v>80</v>
      </c>
      <c r="Q34" s="585">
        <f>DulieuXDKH!$AD28</f>
        <v>38</v>
      </c>
      <c r="R34" s="585">
        <f>DulieuXDKH!$AD29</f>
        <v>38</v>
      </c>
      <c r="AB34" s="563"/>
      <c r="AC34" s="562"/>
      <c r="AD34" s="566"/>
      <c r="AE34" s="562"/>
      <c r="AF34" s="563"/>
    </row>
    <row r="35" spans="1:32" ht="33.75" customHeight="1" x14ac:dyDescent="0.25">
      <c r="A35" s="579" t="s">
        <v>1286</v>
      </c>
      <c r="B35" s="585">
        <f>IF(B34-B33&lt;0,0,B34-B33)</f>
        <v>50</v>
      </c>
      <c r="C35" s="585">
        <f t="shared" ref="C35:R35" si="0">IF(C34-C33&lt;0,0,C34-C33)</f>
        <v>51</v>
      </c>
      <c r="D35" s="585">
        <f t="shared" si="0"/>
        <v>23</v>
      </c>
      <c r="E35" s="585">
        <f t="shared" si="0"/>
        <v>1</v>
      </c>
      <c r="F35" s="585">
        <f t="shared" si="0"/>
        <v>38</v>
      </c>
      <c r="G35" s="585">
        <f t="shared" si="0"/>
        <v>14</v>
      </c>
      <c r="H35" s="585">
        <f t="shared" si="0"/>
        <v>18</v>
      </c>
      <c r="I35" s="585">
        <f t="shared" si="0"/>
        <v>2</v>
      </c>
      <c r="J35" s="585">
        <f t="shared" si="0"/>
        <v>14</v>
      </c>
      <c r="K35" s="585"/>
      <c r="L35" s="585">
        <f t="shared" si="0"/>
        <v>1</v>
      </c>
      <c r="M35" s="585">
        <f t="shared" si="0"/>
        <v>4</v>
      </c>
      <c r="N35" s="585">
        <f t="shared" si="0"/>
        <v>1</v>
      </c>
      <c r="O35" s="585">
        <f t="shared" si="0"/>
        <v>0</v>
      </c>
      <c r="P35" s="585">
        <f t="shared" si="0"/>
        <v>8</v>
      </c>
      <c r="Q35" s="585">
        <f t="shared" si="0"/>
        <v>2</v>
      </c>
      <c r="R35" s="585">
        <f t="shared" si="0"/>
        <v>2</v>
      </c>
      <c r="AB35" s="563"/>
    </row>
    <row r="36" spans="1:32" ht="33.75" customHeight="1" x14ac:dyDescent="0.25">
      <c r="A36" s="579" t="s">
        <v>1287</v>
      </c>
      <c r="B36" s="585">
        <f>IF(B33-B34&lt;0,0,B33-B34)</f>
        <v>0</v>
      </c>
      <c r="C36" s="585">
        <f t="shared" ref="C36:R36" si="1">IF(C33-C34&lt;0,0,C33-C34)</f>
        <v>0</v>
      </c>
      <c r="D36" s="585">
        <f t="shared" si="1"/>
        <v>0</v>
      </c>
      <c r="E36" s="585">
        <f t="shared" si="1"/>
        <v>0</v>
      </c>
      <c r="F36" s="585">
        <f t="shared" si="1"/>
        <v>0</v>
      </c>
      <c r="G36" s="585">
        <f t="shared" si="1"/>
        <v>0</v>
      </c>
      <c r="H36" s="585">
        <f t="shared" si="1"/>
        <v>0</v>
      </c>
      <c r="I36" s="585">
        <f t="shared" si="1"/>
        <v>0</v>
      </c>
      <c r="J36" s="585">
        <f t="shared" si="1"/>
        <v>0</v>
      </c>
      <c r="K36" s="585">
        <f t="shared" si="1"/>
        <v>0</v>
      </c>
      <c r="L36" s="585">
        <f t="shared" si="1"/>
        <v>0</v>
      </c>
      <c r="M36" s="585">
        <f t="shared" si="1"/>
        <v>0</v>
      </c>
      <c r="N36" s="585">
        <f t="shared" si="1"/>
        <v>0</v>
      </c>
      <c r="O36" s="585">
        <f t="shared" si="1"/>
        <v>15</v>
      </c>
      <c r="P36" s="585">
        <f t="shared" si="1"/>
        <v>0</v>
      </c>
      <c r="Q36" s="585">
        <f t="shared" si="1"/>
        <v>0</v>
      </c>
      <c r="R36" s="585">
        <f t="shared" si="1"/>
        <v>0</v>
      </c>
      <c r="AB36" s="563"/>
    </row>
    <row r="37" spans="1:32" ht="33.75" customHeight="1" x14ac:dyDescent="0.25">
      <c r="A37" s="579" t="s">
        <v>1288</v>
      </c>
      <c r="B37" s="635">
        <f>Nhucauvieclam!K30</f>
        <v>0</v>
      </c>
      <c r="C37" s="635">
        <f>Nhucauvieclam!L30</f>
        <v>0</v>
      </c>
      <c r="D37" s="635">
        <f>Nhucauvieclam!M30</f>
        <v>0</v>
      </c>
      <c r="E37" s="635">
        <f>Nhucauvieclam!N30</f>
        <v>1</v>
      </c>
      <c r="F37" s="635">
        <f>Nhucauvieclam!E30</f>
        <v>3</v>
      </c>
      <c r="G37" s="635">
        <f>Nhucauvieclam!F30</f>
        <v>1</v>
      </c>
      <c r="H37" s="635">
        <f>Nhucauvieclam!G30</f>
        <v>1</v>
      </c>
      <c r="I37" s="635">
        <f>Nhucauvieclam!H30</f>
        <v>1</v>
      </c>
      <c r="J37" s="635">
        <f>Nhucauvieclam!I30</f>
        <v>2</v>
      </c>
      <c r="K37" s="635">
        <f>Nhucauvieclam!J30</f>
        <v>0</v>
      </c>
      <c r="L37" s="635">
        <f>Nhucauvieclam!O30</f>
        <v>0</v>
      </c>
      <c r="M37" s="635">
        <f>Nhucauvieclam!P30</f>
        <v>0</v>
      </c>
      <c r="N37" s="635">
        <f>Nhucauvieclam!Q30</f>
        <v>0</v>
      </c>
      <c r="O37" s="635">
        <f>Nhucauvieclam!R30</f>
        <v>2</v>
      </c>
      <c r="P37" s="635">
        <f>Nhucauvieclam!S30</f>
        <v>0</v>
      </c>
      <c r="Q37" s="635">
        <f>Nhucauvieclam!T30</f>
        <v>0</v>
      </c>
      <c r="R37" s="635">
        <f>Nhucauvieclam!U30</f>
        <v>0</v>
      </c>
    </row>
    <row r="38" spans="1:32" ht="33.75" customHeight="1" thickBot="1" x14ac:dyDescent="0.3">
      <c r="A38" s="587" t="s">
        <v>1289</v>
      </c>
      <c r="B38" s="588">
        <f>Nhucauvieclam!K35</f>
        <v>0</v>
      </c>
      <c r="C38" s="588">
        <f>Nhucauvieclam!L35</f>
        <v>1</v>
      </c>
      <c r="D38" s="588">
        <f>Nhucauvieclam!M35</f>
        <v>0</v>
      </c>
      <c r="E38" s="588">
        <f>Nhucauvieclam!N35</f>
        <v>0</v>
      </c>
      <c r="F38" s="588">
        <f>Nhucauvieclam!E35</f>
        <v>0</v>
      </c>
      <c r="G38" s="588">
        <f>Nhucauvieclam!F35</f>
        <v>0</v>
      </c>
      <c r="H38" s="588">
        <f>Nhucauvieclam!G35</f>
        <v>0</v>
      </c>
      <c r="I38" s="588">
        <f>Nhucauvieclam!H35</f>
        <v>0</v>
      </c>
      <c r="J38" s="588">
        <f>Nhucauvieclam!I35</f>
        <v>0</v>
      </c>
      <c r="K38" s="588">
        <f>Nhucauvieclam!J35</f>
        <v>0</v>
      </c>
      <c r="L38" s="588">
        <f>Nhucauvieclam!O35</f>
        <v>0</v>
      </c>
      <c r="M38" s="588">
        <f>Nhucauvieclam!P35</f>
        <v>0</v>
      </c>
      <c r="N38" s="588">
        <f>Nhucauvieclam!Q35</f>
        <v>0</v>
      </c>
      <c r="O38" s="588">
        <f>Nhucauvieclam!R35</f>
        <v>0</v>
      </c>
      <c r="P38" s="588">
        <f>Nhucauvieclam!S35</f>
        <v>0</v>
      </c>
      <c r="Q38" s="588">
        <f>Nhucauvieclam!T35</f>
        <v>0</v>
      </c>
      <c r="R38" s="588">
        <f>Nhucauvieclam!U35</f>
        <v>0</v>
      </c>
    </row>
    <row r="39" spans="1:32" ht="16.5" x14ac:dyDescent="0.25">
      <c r="A39" s="488"/>
      <c r="B39" s="594"/>
      <c r="C39" s="594"/>
      <c r="D39" s="594"/>
      <c r="E39" s="594"/>
      <c r="F39" s="594"/>
      <c r="G39" s="594"/>
      <c r="H39" s="594"/>
      <c r="I39" s="594"/>
      <c r="J39" s="594"/>
      <c r="K39" s="594"/>
      <c r="L39" s="594"/>
      <c r="M39" s="594"/>
      <c r="N39" s="594"/>
      <c r="O39" s="594"/>
      <c r="P39" s="594"/>
      <c r="Q39" s="594"/>
      <c r="R39" s="594"/>
    </row>
    <row r="40" spans="1:32" ht="16.5" x14ac:dyDescent="0.25">
      <c r="A40" s="595" t="s">
        <v>1290</v>
      </c>
    </row>
    <row r="41" spans="1:32" ht="16.5" x14ac:dyDescent="0.25">
      <c r="A41" s="488"/>
    </row>
    <row r="42" spans="1:32" ht="16.5" x14ac:dyDescent="0.25">
      <c r="A42" s="488"/>
    </row>
    <row r="43" spans="1:32" ht="16.5" x14ac:dyDescent="0.25">
      <c r="A43" s="488"/>
    </row>
    <row r="44" spans="1:32" ht="16.5" x14ac:dyDescent="0.25">
      <c r="A44" s="488"/>
    </row>
    <row r="45" spans="1:32" ht="16.5" x14ac:dyDescent="0.25">
      <c r="C45" s="488" t="s">
        <v>1291</v>
      </c>
      <c r="P45" s="488" t="s">
        <v>1233</v>
      </c>
    </row>
    <row r="46" spans="1:32" ht="16.5" x14ac:dyDescent="0.25">
      <c r="C46" s="488"/>
      <c r="P46" s="488"/>
    </row>
    <row r="47" spans="1:32" ht="15.75" x14ac:dyDescent="0.25">
      <c r="A47" s="529"/>
      <c r="G47" s="596"/>
    </row>
    <row r="48" spans="1:32" ht="15.75" x14ac:dyDescent="0.25">
      <c r="A48" s="529"/>
      <c r="G48" s="596"/>
    </row>
    <row r="49" spans="1:7" ht="15.75" x14ac:dyDescent="0.25">
      <c r="A49" s="529"/>
      <c r="G49" s="596"/>
    </row>
    <row r="50" spans="1:7" ht="15.75" x14ac:dyDescent="0.25">
      <c r="A50" s="529"/>
      <c r="G50" s="596"/>
    </row>
    <row r="51" spans="1:7" ht="15.75" x14ac:dyDescent="0.25">
      <c r="A51" s="529"/>
      <c r="G51" s="596"/>
    </row>
    <row r="52" spans="1:7" ht="15.75" x14ac:dyDescent="0.25">
      <c r="A52" s="529"/>
      <c r="G52" s="596"/>
    </row>
    <row r="53" spans="1:7" ht="16.5" x14ac:dyDescent="0.25">
      <c r="A53" s="488"/>
    </row>
  </sheetData>
  <mergeCells count="16">
    <mergeCell ref="A11:B11"/>
    <mergeCell ref="A12:B12"/>
    <mergeCell ref="A13:B13"/>
    <mergeCell ref="A5:R5"/>
    <mergeCell ref="A6:R6"/>
    <mergeCell ref="A10:B10"/>
    <mergeCell ref="C10:D10"/>
    <mergeCell ref="G10:H10"/>
    <mergeCell ref="K10:L10"/>
    <mergeCell ref="O10:P10"/>
    <mergeCell ref="A1:D1"/>
    <mergeCell ref="F1:M1"/>
    <mergeCell ref="A2:D2"/>
    <mergeCell ref="G2:L2"/>
    <mergeCell ref="A4:C4"/>
    <mergeCell ref="F4:L4"/>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53"/>
  <sheetViews>
    <sheetView showZeros="0" workbookViewId="0">
      <selection activeCell="AG1" sqref="AG1:AG1048576"/>
    </sheetView>
  </sheetViews>
  <sheetFormatPr defaultColWidth="9.140625" defaultRowHeight="15" x14ac:dyDescent="0.25"/>
  <cols>
    <col min="1" max="1" width="5" style="15" customWidth="1"/>
    <col min="2" max="2" width="4.140625" style="15" customWidth="1"/>
    <col min="3" max="3" width="4" style="15" customWidth="1"/>
    <col min="4" max="6" width="3.5703125" style="15" customWidth="1"/>
    <col min="7" max="7" width="1.42578125" style="15" customWidth="1"/>
    <col min="8" max="9" width="4" style="15" customWidth="1"/>
    <col min="10" max="12" width="3.42578125" style="15" customWidth="1"/>
    <col min="13" max="13" width="3.140625" style="15" customWidth="1"/>
    <col min="14" max="14" width="13" style="15" customWidth="1"/>
    <col min="15" max="27" width="3.7109375" style="15" customWidth="1"/>
    <col min="28" max="28" width="4.7109375" style="15" customWidth="1"/>
    <col min="29" max="38" width="3.42578125" style="15" customWidth="1"/>
    <col min="39" max="39" width="4.140625" style="15" customWidth="1"/>
    <col min="40" max="40" width="4.42578125" style="15" customWidth="1"/>
    <col min="41" max="41" width="4.85546875" style="15" customWidth="1"/>
    <col min="42" max="43" width="5.28515625" style="15" customWidth="1"/>
    <col min="44" max="16384" width="9.140625" style="15"/>
  </cols>
  <sheetData>
    <row r="1" spans="1:43" ht="20.25" x14ac:dyDescent="0.3">
      <c r="F1" s="662">
        <f ca="1">NOW()</f>
        <v>43990.388564120367</v>
      </c>
      <c r="H1" s="664" t="str">
        <f ca="1">"tháng "&amp;MONTH(F1)</f>
        <v>tháng 6</v>
      </c>
      <c r="I1" s="664" t="str">
        <f ca="1">"năm "&amp;YEAR(F1)</f>
        <v>năm 2020</v>
      </c>
      <c r="AG1" s="15" t="s">
        <v>1374</v>
      </c>
    </row>
    <row r="4" spans="1:43" ht="21" customHeight="1" x14ac:dyDescent="0.25">
      <c r="A4" s="271" t="s">
        <v>512</v>
      </c>
      <c r="B4" s="277" t="s">
        <v>513</v>
      </c>
      <c r="C4" s="271" t="s">
        <v>5</v>
      </c>
      <c r="D4" s="272" t="s">
        <v>53</v>
      </c>
      <c r="E4" s="272" t="s">
        <v>3</v>
      </c>
      <c r="F4" s="272" t="s">
        <v>41</v>
      </c>
      <c r="G4" s="275"/>
      <c r="H4" s="278" t="s">
        <v>513</v>
      </c>
      <c r="I4" s="273" t="s">
        <v>5</v>
      </c>
      <c r="J4" s="274" t="s">
        <v>53</v>
      </c>
      <c r="K4" s="274" t="s">
        <v>3</v>
      </c>
      <c r="L4" s="274" t="s">
        <v>41</v>
      </c>
      <c r="N4" s="38" t="s">
        <v>563</v>
      </c>
      <c r="O4" s="765" t="s">
        <v>518</v>
      </c>
      <c r="P4" s="765"/>
      <c r="Q4" s="757" t="s">
        <v>519</v>
      </c>
      <c r="R4" s="758"/>
      <c r="S4" s="758"/>
      <c r="T4" s="759"/>
      <c r="U4" s="753" t="s">
        <v>520</v>
      </c>
      <c r="V4" s="753"/>
      <c r="W4" s="753"/>
      <c r="X4" s="754" t="s">
        <v>521</v>
      </c>
      <c r="Y4" s="755"/>
      <c r="Z4" s="755"/>
      <c r="AA4" s="766" t="s">
        <v>530</v>
      </c>
      <c r="AB4" s="767" t="s">
        <v>41</v>
      </c>
      <c r="AC4" s="753" t="s">
        <v>18</v>
      </c>
      <c r="AD4" s="753"/>
      <c r="AE4" s="754" t="s">
        <v>561</v>
      </c>
      <c r="AF4" s="755"/>
      <c r="AG4" s="755"/>
      <c r="AH4" s="755"/>
      <c r="AI4" s="755"/>
      <c r="AJ4" s="755"/>
      <c r="AK4" s="755"/>
      <c r="AL4" s="756"/>
      <c r="AM4" s="769" t="s">
        <v>14</v>
      </c>
      <c r="AO4" s="757" t="s">
        <v>534</v>
      </c>
      <c r="AP4" s="758"/>
      <c r="AQ4" s="759"/>
    </row>
    <row r="5" spans="1:43" ht="23.25" customHeight="1" x14ac:dyDescent="0.25">
      <c r="A5" s="400">
        <v>2020</v>
      </c>
      <c r="B5" s="279">
        <v>21</v>
      </c>
      <c r="C5" s="268">
        <f>$A$5-B5</f>
        <v>1999</v>
      </c>
      <c r="D5" s="262">
        <f>COUNTIFS(NSTonghop!$J$8:$J$107,$A$5-B5,NSTonghop!$G$8:$G$107,"")</f>
        <v>0</v>
      </c>
      <c r="E5" s="262">
        <f>COUNTIFS(NSTonghop!$K$8:$K$107,$A$5-B5,NSTonghop!$G$8:$G$107,"=x")</f>
        <v>0</v>
      </c>
      <c r="F5" s="263">
        <f t="shared" ref="F5:F24" si="0">SUM(D5:E5)</f>
        <v>0</v>
      </c>
      <c r="G5" s="401"/>
      <c r="H5" s="280">
        <v>41</v>
      </c>
      <c r="I5" s="269">
        <f>$A$5-H5</f>
        <v>1979</v>
      </c>
      <c r="J5" s="264">
        <f>COUNTIFS(NSTonghop!$J$8:$J$107,$A$5-H5,NSTonghop!$G$8:$G$107,"")</f>
        <v>3</v>
      </c>
      <c r="K5" s="264">
        <f>COUNTIFS(NSTonghop!$K$8:$K$107,$A$5-H5,NSTonghop!$G$8:$G$107,"=x")</f>
        <v>4</v>
      </c>
      <c r="L5" s="265">
        <f t="shared" ref="L5:L24" si="1">SUM(J5:K5)</f>
        <v>7</v>
      </c>
      <c r="N5" s="25"/>
      <c r="O5" s="20" t="s">
        <v>526</v>
      </c>
      <c r="P5" s="20" t="s">
        <v>527</v>
      </c>
      <c r="Q5" s="20" t="s">
        <v>526</v>
      </c>
      <c r="R5" s="20" t="s">
        <v>527</v>
      </c>
      <c r="S5" s="20" t="s">
        <v>528</v>
      </c>
      <c r="T5" s="20" t="s">
        <v>529</v>
      </c>
      <c r="U5" s="20" t="s">
        <v>526</v>
      </c>
      <c r="V5" s="20" t="s">
        <v>527</v>
      </c>
      <c r="W5" s="20" t="s">
        <v>529</v>
      </c>
      <c r="X5" s="20" t="s">
        <v>526</v>
      </c>
      <c r="Y5" s="20" t="s">
        <v>527</v>
      </c>
      <c r="Z5" s="21" t="s">
        <v>529</v>
      </c>
      <c r="AA5" s="766"/>
      <c r="AB5" s="768"/>
      <c r="AC5" s="34" t="s">
        <v>531</v>
      </c>
      <c r="AD5" s="34" t="s">
        <v>532</v>
      </c>
      <c r="AE5" s="34" t="s">
        <v>531</v>
      </c>
      <c r="AF5" s="34" t="s">
        <v>532</v>
      </c>
      <c r="AG5" s="34" t="s">
        <v>363</v>
      </c>
      <c r="AH5" s="34" t="s">
        <v>575</v>
      </c>
      <c r="AI5" s="34" t="s">
        <v>576</v>
      </c>
      <c r="AJ5" s="34" t="s">
        <v>577</v>
      </c>
      <c r="AK5" s="34" t="s">
        <v>578</v>
      </c>
      <c r="AL5" s="34" t="s">
        <v>579</v>
      </c>
      <c r="AM5" s="770"/>
      <c r="AO5" s="65" t="s">
        <v>30</v>
      </c>
      <c r="AP5" s="66" t="s">
        <v>535</v>
      </c>
      <c r="AQ5" s="67" t="s">
        <v>562</v>
      </c>
    </row>
    <row r="6" spans="1:43" ht="12" customHeight="1" x14ac:dyDescent="0.25">
      <c r="A6" s="402"/>
      <c r="B6" s="280">
        <v>22</v>
      </c>
      <c r="C6" s="269">
        <f t="shared" ref="C6:C24" si="2">$A$5-B6</f>
        <v>1998</v>
      </c>
      <c r="D6" s="264">
        <f>COUNTIFS(NSTonghop!$J$8:$J$107,$A$5-B6,NSTonghop!$G$8:$G$107,"")</f>
        <v>0</v>
      </c>
      <c r="E6" s="264">
        <f>COUNTIFS(NSTonghop!$K$8:$K$107,$A$5-B6,NSTonghop!$G$8:$G$107,"=x")</f>
        <v>0</v>
      </c>
      <c r="F6" s="265">
        <f t="shared" si="0"/>
        <v>0</v>
      </c>
      <c r="G6" s="403"/>
      <c r="H6" s="280">
        <v>42</v>
      </c>
      <c r="I6" s="269">
        <f t="shared" ref="I6:I22" si="3">$A$5-H6</f>
        <v>1978</v>
      </c>
      <c r="J6" s="264">
        <f>COUNTIFS(NSTonghop!$J$8:$J$107,$A$5-H6,NSTonghop!$G$8:$G$107,"")</f>
        <v>1</v>
      </c>
      <c r="K6" s="264">
        <f>COUNTIFS(NSTonghop!$K$8:$K$107,$A$5-H6,NSTonghop!$G$8:$G$107,"=x")</f>
        <v>2</v>
      </c>
      <c r="L6" s="265">
        <f t="shared" si="1"/>
        <v>3</v>
      </c>
      <c r="N6" s="39" t="s">
        <v>522</v>
      </c>
      <c r="O6" s="22">
        <f>COUNTIFS(NSTonghop!$W8:$W107,"ThsC",NSTonghop!$L8:$L107,"NV")</f>
        <v>0</v>
      </c>
      <c r="P6" s="22">
        <f>COUNTIFS(NSTonghop!$W8:$W107,"ThsT",NSTonghop!$L8:$L107,"NV")</f>
        <v>0</v>
      </c>
      <c r="Q6" s="22">
        <f>COUNTIFS(NSTonghop!$W8:$W107,"ĐHCQ",NSTonghop!$L8:$L107,"NV")</f>
        <v>1</v>
      </c>
      <c r="R6" s="22">
        <f>COUNTIFS(NSTonghop!$W8:$W107,"ĐHTC",NSTonghop!$L8:$L107,"NV")</f>
        <v>0</v>
      </c>
      <c r="S6" s="22">
        <f>COUNTIFS(NSTonghop!$W8:$W107,"ĐHTX",NSTonghop!$L8:$L107,"NV")</f>
        <v>1</v>
      </c>
      <c r="T6" s="22">
        <f>COUNTIFS(NSTonghop!$W8:$W107,"ĐHCT",NSTonghop!$L8:$L107,"NV")</f>
        <v>0</v>
      </c>
      <c r="U6" s="22">
        <f>COUNTIFS(NSTonghop!$W8:$W107,"CĐCQ",NSTonghop!$L8:$L107,"NV")</f>
        <v>0</v>
      </c>
      <c r="V6" s="22">
        <f>COUNTIFS(NSTonghop!$W8:$W107,"CĐTC",NSTonghop!$L8:$L107,"NV")</f>
        <v>0</v>
      </c>
      <c r="W6" s="22">
        <f>COUNTIFS(NSTonghop!$W8:$W107,"CĐCT",NSTonghop!$L8:$L107,"NV")</f>
        <v>0</v>
      </c>
      <c r="X6" s="22">
        <f>COUNTIFS(NSTonghop!$W8:$W107,"TCCQ",NSTonghop!$L8:$L107,"NV")</f>
        <v>1</v>
      </c>
      <c r="Y6" s="22">
        <f>COUNTIFS(NSTonghop!$W8:$W107,"TCTC",NSTonghop!$L8:$L107,"NV")</f>
        <v>2</v>
      </c>
      <c r="Z6" s="22">
        <f>COUNTIFS(NSTonghop!$W8:$W107,"TCCT",NSTonghop!$L8:$L107,"NV")</f>
        <v>0</v>
      </c>
      <c r="AA6" s="22">
        <f>SUM(COUNTIFS(NSTonghop!$W8:$W107,"",NSTonghop!$L8:$L107,"NV"),COUNTIFS(NSTonghop!$W8:$W107,"=x",NSTonghop!$L8:$L107,"NV"))</f>
        <v>2</v>
      </c>
      <c r="AB6" s="23">
        <f>SUM(O6:AA6)</f>
        <v>7</v>
      </c>
      <c r="AC6" s="35">
        <f>COUNTIFS(NSTonghop!$AB8:$AB107,"A*",NSTonghop!$L8:$L107,"NV**")</f>
        <v>4</v>
      </c>
      <c r="AD6" s="36">
        <f>COUNTIFS(NSTonghop!$AB6:$AB107,"B*",NSTonghop!$L6:$L107,"NV**")</f>
        <v>0</v>
      </c>
      <c r="AE6" s="35">
        <f>COUNTIFS(NSTonghop!$AC8:$AC107,"A*",NSTonghop!$L8:$L107,"NV**")</f>
        <v>0</v>
      </c>
      <c r="AF6" s="35">
        <f>COUNTIFS(NSTonghop!$AC8:$AC107,"B*",NSTonghop!$L8:$L107,"NV**")</f>
        <v>2</v>
      </c>
      <c r="AG6" s="35">
        <f>COUNTIFS(NSTonghop!$AC8:$AC107,"a1*",NSTonghop!$L8:$L107,"NV**")</f>
        <v>0</v>
      </c>
      <c r="AH6" s="35">
        <f>COUNTIFS(NSTonghop!$AC8:$AC107,"a2*",NSTonghop!$L8:$L107,"NV**")</f>
        <v>0</v>
      </c>
      <c r="AI6" s="35">
        <f>COUNTIFS(NSTonghop!$AC8:$AC107,"B1*",NSTonghop!$L8:$L107,"NV**")</f>
        <v>0</v>
      </c>
      <c r="AJ6" s="35">
        <f>COUNTIFS(NSTonghop!$AC8:$AC107,"B2*",NSTonghop!$L8:$L107,"NV**")</f>
        <v>0</v>
      </c>
      <c r="AK6" s="35">
        <f>COUNTIFS(NSTonghop!$AC8:$AC107,"c1*",NSTonghop!$L8:$L107,"NV**")</f>
        <v>0</v>
      </c>
      <c r="AL6" s="35">
        <f>COUNTIFS(NSTonghop!$AC8:$AC107,"c2*",NSTonghop!$L8:$L107,"NV**")</f>
        <v>0</v>
      </c>
      <c r="AM6" s="35">
        <f>COUNTIFS(NSTonghop!$Z8:$Z107,"QL*",NSTonghop!$L8:$L107,"NV**")</f>
        <v>0</v>
      </c>
      <c r="AO6" s="68"/>
      <c r="AP6" s="69">
        <f>SUM(AP7:AP27)</f>
        <v>44</v>
      </c>
      <c r="AQ6" s="69">
        <f>SUM(AQ7:AQ27)</f>
        <v>23</v>
      </c>
    </row>
    <row r="7" spans="1:43" ht="12" customHeight="1" x14ac:dyDescent="0.25">
      <c r="A7" s="404"/>
      <c r="B7" s="280">
        <v>23</v>
      </c>
      <c r="C7" s="269">
        <f t="shared" si="2"/>
        <v>1997</v>
      </c>
      <c r="D7" s="264">
        <f>COUNTIFS(NSTonghop!$J$8:$J$107,$A$5-B7,NSTonghop!$G$8:$G$107,"")</f>
        <v>0</v>
      </c>
      <c r="E7" s="264">
        <f>COUNTIFS(NSTonghop!$K$8:$K$107,$A$5-B7,NSTonghop!$G$8:$G$107,"=x")</f>
        <v>0</v>
      </c>
      <c r="F7" s="265">
        <f t="shared" si="0"/>
        <v>0</v>
      </c>
      <c r="G7" s="403"/>
      <c r="H7" s="280">
        <v>43</v>
      </c>
      <c r="I7" s="269">
        <f t="shared" si="3"/>
        <v>1977</v>
      </c>
      <c r="J7" s="264">
        <f>COUNTIFS(NSTonghop!$J$8:$J$107,$A$5-H7,NSTonghop!$G$8:$G$107,"")</f>
        <v>1</v>
      </c>
      <c r="K7" s="264">
        <f>COUNTIFS(NSTonghop!$K$8:$K$107,$A$5-H7,NSTonghop!$G$8:$G$107,"=x")</f>
        <v>1</v>
      </c>
      <c r="L7" s="265">
        <f t="shared" si="1"/>
        <v>2</v>
      </c>
      <c r="N7" s="39" t="s">
        <v>523</v>
      </c>
      <c r="O7" s="22">
        <f>COUNTIFS(NSTonghop!$W8:$W107,"ThsC",NSTonghop!$L8:$L107,"GV")</f>
        <v>1</v>
      </c>
      <c r="P7" s="22">
        <f>COUNTIFS(NSTonghop!$W8:$W107,"ThsT",NSTonghop!$L8:$L107,"GV")</f>
        <v>0</v>
      </c>
      <c r="Q7" s="22">
        <f>COUNTIFS(NSTonghop!$W8:$W107,"ĐHCQ",NSTonghop!$L8:$L107,"GV")</f>
        <v>6</v>
      </c>
      <c r="R7" s="22">
        <f>COUNTIFS(NSTonghop!$W8:$W107,"ĐHTC",NSTonghop!$L8:$L107,"GV")</f>
        <v>13</v>
      </c>
      <c r="S7" s="22">
        <f>COUNTIFS(NSTonghop!$W8:$W107,"ĐHTX",NSTonghop!$L8:$L107,"GV")</f>
        <v>48</v>
      </c>
      <c r="T7" s="22">
        <f>COUNTIFS(NSTonghop!$W8:$W107,"ĐHCT",NSTonghop!$L8:$L107,"GV")</f>
        <v>2</v>
      </c>
      <c r="U7" s="22">
        <f>SUM(COUNTIFS(NSTonghop!$W8:$W107,"CĐ*/",NSTonghop!$L8:$L107,"GV"),COUNTIFS(NSTonghop!$W8:$W107,"ĐH*/",NSTonghop!$L8:$L107,"GV"))</f>
        <v>4</v>
      </c>
      <c r="V7" s="22">
        <f>COUNTIFS(NSTonghop!$W8:$W107,"CĐTC",NSTonghop!$L8:$L107,"GV")</f>
        <v>0</v>
      </c>
      <c r="W7" s="22">
        <f>COUNTIFS(NSTonghop!$W8:$W107,"CĐCT",NSTonghop!$L8:$L107,"GV")</f>
        <v>0</v>
      </c>
      <c r="X7" s="22"/>
      <c r="Y7" s="22"/>
      <c r="Z7" s="22"/>
      <c r="AA7" s="22">
        <f>COUNTIFS(NSTonghop!$W8:$W107,"",NSTonghop!$L8:$L107,"gV")</f>
        <v>0</v>
      </c>
      <c r="AB7" s="23">
        <f>SUM(O7:AA7)</f>
        <v>74</v>
      </c>
      <c r="AC7" s="35">
        <f>COUNTIFS(NSTonghop!$AB8:$AB107,"A*",NSTonghop!$L8:$L107,"GV**")</f>
        <v>65</v>
      </c>
      <c r="AD7" s="36">
        <f>COUNTIFS(NSTonghop!$AB6:$AB107,"B*",NSTonghop!$L6:$L107,"GV**")</f>
        <v>0</v>
      </c>
      <c r="AE7" s="37">
        <f>COUNTIFS(NSTonghop!$AC8:$AC107,"A*",NSTonghop!$L8:$L107,"GV**")</f>
        <v>9</v>
      </c>
      <c r="AF7" s="37">
        <f>COUNTIFS(NSTonghop!$AC8:$AC107,"B*",NSTonghop!$L8:$L107,"GV**")</f>
        <v>23</v>
      </c>
      <c r="AG7" s="37">
        <f>COUNTIFS(NSTonghop!$AC8:$AC107,"a1*",NSTonghop!$L8:$L107,"GV**")</f>
        <v>0</v>
      </c>
      <c r="AH7" s="37">
        <f>COUNTIFS(NSTonghop!$AC8:$AC107,"a2*",NSTonghop!$L8:$L107,"GV**")</f>
        <v>1</v>
      </c>
      <c r="AI7" s="37">
        <f>COUNTIFS(NSTonghop!$AC8:$AC107,"B1*",NSTonghop!$L8:$L107,"GV**")</f>
        <v>2</v>
      </c>
      <c r="AJ7" s="37">
        <f>COUNTIFS(NSTonghop!$AC8:$AC107,"B2*",NSTonghop!$L8:$L107,"GV**")</f>
        <v>4</v>
      </c>
      <c r="AK7" s="37">
        <f>COUNTIFS(NSTonghop!$AC8:$AC107,"c1*",NSTonghop!$L8:$L107,"GV**")</f>
        <v>0</v>
      </c>
      <c r="AL7" s="37">
        <f>COUNTIFS(NSTonghop!$AC8:$AC107,"c2*",NSTonghop!$L8:$L107,"GV**")</f>
        <v>0</v>
      </c>
      <c r="AM7" s="37">
        <f>COUNTIFS(NSTonghop!$Z8:$Z107,"QL*",NSTonghop!$L8:$L107,"GV**")</f>
        <v>5</v>
      </c>
      <c r="AO7" s="68">
        <v>1998</v>
      </c>
      <c r="AP7" s="70">
        <f>COUNTIF(NSTonghop!$AQ$8:$AQ$107,1998)</f>
        <v>1</v>
      </c>
      <c r="AQ7" s="70">
        <f>COUNTIFS(NSTonghop!$AQ$8:$AQ$107,"=1998",NSTonghop!$G$8:$G$107,"x")</f>
        <v>0</v>
      </c>
    </row>
    <row r="8" spans="1:43" ht="12" customHeight="1" x14ac:dyDescent="0.25">
      <c r="A8" s="404"/>
      <c r="B8" s="280">
        <v>24</v>
      </c>
      <c r="C8" s="269">
        <f t="shared" si="2"/>
        <v>1996</v>
      </c>
      <c r="D8" s="264">
        <f>COUNTIFS(NSTonghop!$J$8:$J$107,$A$5-B8,NSTonghop!$G$8:$G$107,"")</f>
        <v>0</v>
      </c>
      <c r="E8" s="264">
        <f>COUNTIFS(NSTonghop!$K$8:$K$107,$A$5-B8,NSTonghop!$G$8:$G$107,"=x")</f>
        <v>0</v>
      </c>
      <c r="F8" s="265">
        <f t="shared" si="0"/>
        <v>0</v>
      </c>
      <c r="G8" s="403"/>
      <c r="H8" s="280">
        <v>44</v>
      </c>
      <c r="I8" s="269">
        <f t="shared" si="3"/>
        <v>1976</v>
      </c>
      <c r="J8" s="264">
        <f>COUNTIFS(NSTonghop!$J$8:$J$107,$A$5-H8,NSTonghop!$G$8:$G$107,"")</f>
        <v>1</v>
      </c>
      <c r="K8" s="264">
        <f>COUNTIFS(NSTonghop!$K$8:$K$107,$A$5-H8,NSTonghop!$G$8:$G$107,"=x")</f>
        <v>3</v>
      </c>
      <c r="L8" s="265">
        <f t="shared" si="1"/>
        <v>4</v>
      </c>
      <c r="N8" s="39" t="s">
        <v>525</v>
      </c>
      <c r="O8" s="22">
        <f>COUNTIFS(NSTonghop!$W8:$W107,"ThsC",NSTonghop!$L8:$L107,"ht")</f>
        <v>0</v>
      </c>
      <c r="P8" s="22">
        <f>COUNTIFS(NSTonghop!$W8:$W107,"ThsT",NSTonghop!$L8:$L107,"ht")</f>
        <v>0</v>
      </c>
      <c r="Q8" s="22">
        <f>COUNTIFS(NSTonghop!$W8:$W107,"ĐHCQ",NSTonghop!$L8:$L107,"HT")</f>
        <v>0</v>
      </c>
      <c r="R8" s="22">
        <f>COUNTIFS(NSTonghop!$W8:$W107,"ĐHTC",NSTonghop!$L8:$L107,"HT")</f>
        <v>1</v>
      </c>
      <c r="S8" s="22">
        <f>COUNTIFS(NSTonghop!$W8:$W107,"ĐHTX",NSTonghop!$L8:$L107,"HT")</f>
        <v>0</v>
      </c>
      <c r="T8" s="22">
        <f>COUNTIFS(NSTonghop!$W8:$W107,"ĐHCT",NSTonghop!$L8:$L107,"HT")</f>
        <v>0</v>
      </c>
      <c r="U8" s="22">
        <f>COUNTIFS(NSTonghop!$W8:$W107,"CĐCQ",NSTonghop!$L8:$L107,"HT")</f>
        <v>0</v>
      </c>
      <c r="V8" s="22">
        <f>COUNTIFS(NSTonghop!$W8:$W107,"CĐTC",NSTonghop!$L8:$L107,"HT")</f>
        <v>0</v>
      </c>
      <c r="W8" s="22">
        <f>COUNTIFS(NSTonghop!$W8:$W107,"CĐCT",NSTonghop!$L8:$L107,"HT")</f>
        <v>0</v>
      </c>
      <c r="X8" s="22"/>
      <c r="Y8" s="22"/>
      <c r="Z8" s="22"/>
      <c r="AA8" s="22">
        <f>COUNTIFS(NSTonghop!$W8:$W107,"",NSTonghop!$L8:$L107,"ht")</f>
        <v>0</v>
      </c>
      <c r="AB8" s="23">
        <f>SUM(O8:AA8)</f>
        <v>1</v>
      </c>
      <c r="AC8" s="35">
        <f>COUNTIFS(NSTonghop!$AB8:$AB107,"A*",NSTonghop!$L8:$L107,"HT**")</f>
        <v>0</v>
      </c>
      <c r="AD8" s="36">
        <f>COUNTIFS(NSTonghop!$AB6:$AB107,"B*",NSTonghop!$L6:$L107,"HT**")</f>
        <v>0</v>
      </c>
      <c r="AE8" s="36">
        <f>COUNTIFS(NSTonghop!$AC8:$AC107,"A*",NSTonghop!$L8:$L107,"HT**")</f>
        <v>0</v>
      </c>
      <c r="AF8" s="36">
        <f>COUNTIFS(NSTonghop!$AC8:$AC107,"B*",NSTonghop!$L8:$L107,"HT**")</f>
        <v>0</v>
      </c>
      <c r="AG8" s="36">
        <f>COUNTIFS(NSTonghop!$AC8:$AC107,"a1*",NSTonghop!$L8:$L107,"HT**")</f>
        <v>0</v>
      </c>
      <c r="AH8" s="36">
        <f>COUNTIFS(NSTonghop!$AC8:$AC107,"a2*",NSTonghop!$L8:$L107,"HT**")</f>
        <v>0</v>
      </c>
      <c r="AI8" s="36">
        <f>COUNTIFS(NSTonghop!$AC8:$AC107,"B1*",NSTonghop!$L8:$L107,"HT**")</f>
        <v>0</v>
      </c>
      <c r="AJ8" s="36">
        <f>COUNTIFS(NSTonghop!$AC8:$AC107,"B2*",NSTonghop!$L8:$L107,"HT**")</f>
        <v>0</v>
      </c>
      <c r="AK8" s="36">
        <f>COUNTIFS(NSTonghop!$AC8:$AC107,"c1*",NSTonghop!$L8:$L107,"HT**")</f>
        <v>0</v>
      </c>
      <c r="AL8" s="36">
        <f>COUNTIFS(NSTonghop!$AC8:$AC107,"c2*",NSTonghop!$L8:$L107,"HT**")</f>
        <v>0</v>
      </c>
      <c r="AM8" s="36">
        <f>COUNTIFS(NSTonghop!$Z8:$Z107,"QL*",NSTonghop!$L8:$L107,"HT**")</f>
        <v>1</v>
      </c>
      <c r="AO8" s="68">
        <v>1999</v>
      </c>
      <c r="AP8" s="70">
        <f>COUNTIF(NSTonghop!$AQ$8:$AQ$107,1999)</f>
        <v>1</v>
      </c>
      <c r="AQ8" s="70">
        <f>COUNTIFS(NSTonghop!$AQ$8:$AQ$107,1999,NSTonghop!$G$8:$G$107,"x")</f>
        <v>0</v>
      </c>
    </row>
    <row r="9" spans="1:43" ht="12" customHeight="1" x14ac:dyDescent="0.25">
      <c r="A9" s="404"/>
      <c r="B9" s="280">
        <v>25</v>
      </c>
      <c r="C9" s="269">
        <f t="shared" si="2"/>
        <v>1995</v>
      </c>
      <c r="D9" s="264">
        <f>COUNTIFS(NSTonghop!$J$8:$J$107,$A$5-B9,NSTonghop!$G$8:$G$107,"")</f>
        <v>0</v>
      </c>
      <c r="E9" s="264">
        <f>COUNTIFS(NSTonghop!$K$8:$K$107,$A$5-B9,NSTonghop!$G$8:$G$107,"=x")</f>
        <v>0</v>
      </c>
      <c r="F9" s="265">
        <f t="shared" si="0"/>
        <v>0</v>
      </c>
      <c r="G9" s="403"/>
      <c r="H9" s="280">
        <v>45</v>
      </c>
      <c r="I9" s="269">
        <f t="shared" si="3"/>
        <v>1975</v>
      </c>
      <c r="J9" s="264">
        <f>COUNTIFS(NSTonghop!$J$8:$J$107,$A$5-H9,NSTonghop!$G$8:$G$107,"")</f>
        <v>1</v>
      </c>
      <c r="K9" s="264">
        <f>COUNTIFS(NSTonghop!$K$8:$K$107,$A$5-H9,NSTonghop!$G$8:$G$107,"=x")</f>
        <v>0</v>
      </c>
      <c r="L9" s="265">
        <f t="shared" si="1"/>
        <v>1</v>
      </c>
      <c r="N9" s="39" t="s">
        <v>524</v>
      </c>
      <c r="O9" s="22">
        <f>COUNTIFS(NSTonghop!$W8:$W107,"ThsC",NSTonghop!$L8:$L107,"pht")</f>
        <v>0</v>
      </c>
      <c r="P9" s="22">
        <f>COUNTIFS(NSTonghop!$W8:$W107,"ThsT",NSTonghop!$L8:$L107,"pht")</f>
        <v>0</v>
      </c>
      <c r="Q9" s="22">
        <f>COUNTIFS(NSTonghop!$W8:$W107,"ĐHCQ",NSTonghop!$L8:$L107,"PHT")</f>
        <v>0</v>
      </c>
      <c r="R9" s="22">
        <f>COUNTIFS(NSTonghop!$W8:$W107,"ĐHTC",NSTonghop!$L8:$L107,"PHT")</f>
        <v>1</v>
      </c>
      <c r="S9" s="22">
        <f>COUNTIFS(NSTonghop!$W8:$W107,"ĐHTX",NSTonghop!$L8:$L107,"PHT")</f>
        <v>1</v>
      </c>
      <c r="T9" s="24">
        <f>COUNTIFS(NSTonghop!$W8:$W107,"ĐHCT",NSTonghop!$L8:$L107,"PHT")</f>
        <v>0</v>
      </c>
      <c r="U9" s="22">
        <f>COUNTIFS(NSTonghop!$W8:$W107,"CĐCQ",NSTonghop!$L8:$L107,"PHT")</f>
        <v>0</v>
      </c>
      <c r="V9" s="22">
        <f>COUNTIFS(NSTonghop!$W8:$W107,"CĐTC",NSTonghop!$L8:$L107,"PHT")</f>
        <v>0</v>
      </c>
      <c r="W9" s="22">
        <f>COUNTIFS(NSTonghop!$W8:$W107,"CĐCT",NSTonghop!$L8:$L107,"PHT")</f>
        <v>0</v>
      </c>
      <c r="X9" s="22"/>
      <c r="Y9" s="22"/>
      <c r="Z9" s="22"/>
      <c r="AA9" s="22">
        <f>COUNTIFS(NSTonghop!$W8:$W107,"",NSTonghop!$L8:$L107,"pht")</f>
        <v>0</v>
      </c>
      <c r="AB9" s="23">
        <f>SUM(O9:AA9)</f>
        <v>2</v>
      </c>
      <c r="AC9" s="35">
        <f>COUNTIFS(NSTonghop!$AB8:$AB107,"A*",NSTonghop!$L8:$L107,"PHT**")</f>
        <v>2</v>
      </c>
      <c r="AD9" s="36">
        <f>COUNTIFS(NSTonghop!$AB6:$AB107,"B*",NSTonghop!$L6:$L107,"PHT**")</f>
        <v>0</v>
      </c>
      <c r="AE9" s="36">
        <f>COUNTIFS(NSTonghop!$AC8:$AC107,"A*",NSTonghop!$L8:$L107,"PHT**")</f>
        <v>1</v>
      </c>
      <c r="AF9" s="36">
        <f>COUNTIFS(NSTonghop!$AC8:$AC107,"B*",NSTonghop!$L8:$L107,"PHT**")</f>
        <v>1</v>
      </c>
      <c r="AG9" s="36">
        <f>COUNTIFS(NSTonghop!$AC8:$AC107,"a1*",NSTonghop!$L8:$L107,"PHT**")</f>
        <v>0</v>
      </c>
      <c r="AH9" s="36">
        <f>COUNTIFS(NSTonghop!$AC8:$AC107,"a2*",NSTonghop!$L8:$L107,"PHT**")</f>
        <v>0</v>
      </c>
      <c r="AI9" s="36">
        <f>COUNTIFS(NSTonghop!$AC8:$AC107,"B1*",NSTonghop!$L8:$L107,"PHT**")</f>
        <v>0</v>
      </c>
      <c r="AJ9" s="36">
        <f>COUNTIFS(NSTonghop!$AC8:$AC107,"B2*",NSTonghop!$L8:$L107,"PHT**")</f>
        <v>0</v>
      </c>
      <c r="AK9" s="36">
        <f>COUNTIFS(NSTonghop!$AC8:$AC107,"c1*",NSTonghop!$L8:$L107,"PHT**")</f>
        <v>0</v>
      </c>
      <c r="AL9" s="36">
        <f>COUNTIFS(NSTonghop!$AC8:$AC107,"c2*",NSTonghop!$L8:$L107,"PHT**")</f>
        <v>0</v>
      </c>
      <c r="AM9" s="36">
        <f>COUNTIFS(NSTonghop!$Z8:$Z107,"QL*",NSTonghop!$L8:$L107,"PHT**")</f>
        <v>2</v>
      </c>
      <c r="AO9" s="68">
        <v>2000</v>
      </c>
      <c r="AP9" s="70">
        <f>COUNTIF(NSTonghop!$AQ$8:$AQ$107,2000)</f>
        <v>0</v>
      </c>
      <c r="AQ9" s="70">
        <f>COUNTIFS(NSTonghop!$AQ$8:$AQ$107,2000,NSTonghop!$G$8:$G$107,"x")</f>
        <v>0</v>
      </c>
    </row>
    <row r="10" spans="1:43" ht="12" customHeight="1" x14ac:dyDescent="0.25">
      <c r="A10" s="404"/>
      <c r="B10" s="280">
        <v>26</v>
      </c>
      <c r="C10" s="269">
        <f t="shared" si="2"/>
        <v>1994</v>
      </c>
      <c r="D10" s="264">
        <f>COUNTIFS(NSTonghop!$J$8:$J$107,$A$5-B10,NSTonghop!$G$8:$G$107,"")</f>
        <v>0</v>
      </c>
      <c r="E10" s="264">
        <f>COUNTIFS(NSTonghop!$K$8:$K$107,$A$5-B10,NSTonghop!$G$8:$G$107,"=x")</f>
        <v>0</v>
      </c>
      <c r="F10" s="265">
        <f t="shared" si="0"/>
        <v>0</v>
      </c>
      <c r="G10" s="403"/>
      <c r="H10" s="280">
        <v>46</v>
      </c>
      <c r="I10" s="269">
        <f t="shared" si="3"/>
        <v>1974</v>
      </c>
      <c r="J10" s="264">
        <f>COUNTIFS(NSTonghop!$J$8:$J$107,$A$5-H10,NSTonghop!$G$8:$G$107,"")</f>
        <v>0</v>
      </c>
      <c r="K10" s="264">
        <f>COUNTIFS(NSTonghop!$K$8:$K$107,$A$5-H10,NSTonghop!$G$8:$G$107,"=x")</f>
        <v>0</v>
      </c>
      <c r="L10" s="265">
        <f t="shared" si="1"/>
        <v>0</v>
      </c>
      <c r="N10" s="40" t="s">
        <v>41</v>
      </c>
      <c r="O10" s="41">
        <f>SUM(O6:O9)</f>
        <v>1</v>
      </c>
      <c r="P10" s="41">
        <f t="shared" ref="P10:AM10" si="4">SUM(P6:P9)</f>
        <v>0</v>
      </c>
      <c r="Q10" s="41">
        <f t="shared" si="4"/>
        <v>7</v>
      </c>
      <c r="R10" s="41">
        <f t="shared" si="4"/>
        <v>15</v>
      </c>
      <c r="S10" s="41">
        <f t="shared" si="4"/>
        <v>50</v>
      </c>
      <c r="T10" s="41">
        <f t="shared" si="4"/>
        <v>2</v>
      </c>
      <c r="U10" s="41">
        <f t="shared" si="4"/>
        <v>4</v>
      </c>
      <c r="V10" s="41">
        <f t="shared" si="4"/>
        <v>0</v>
      </c>
      <c r="W10" s="41">
        <f t="shared" si="4"/>
        <v>0</v>
      </c>
      <c r="X10" s="41">
        <f t="shared" si="4"/>
        <v>1</v>
      </c>
      <c r="Y10" s="41">
        <f t="shared" si="4"/>
        <v>2</v>
      </c>
      <c r="Z10" s="41">
        <f t="shared" si="4"/>
        <v>0</v>
      </c>
      <c r="AA10" s="41">
        <f t="shared" si="4"/>
        <v>2</v>
      </c>
      <c r="AB10" s="41">
        <f>IF(SUM(AB6:AB9)=SUM(O10:AA10),SUM(O10:AA10),"lỗi tổng")</f>
        <v>84</v>
      </c>
      <c r="AC10" s="42">
        <f t="shared" si="4"/>
        <v>71</v>
      </c>
      <c r="AD10" s="42">
        <f t="shared" si="4"/>
        <v>0</v>
      </c>
      <c r="AE10" s="42">
        <f t="shared" si="4"/>
        <v>10</v>
      </c>
      <c r="AF10" s="42">
        <f t="shared" si="4"/>
        <v>26</v>
      </c>
      <c r="AG10" s="42">
        <f t="shared" si="4"/>
        <v>0</v>
      </c>
      <c r="AH10" s="42">
        <f t="shared" si="4"/>
        <v>1</v>
      </c>
      <c r="AI10" s="42">
        <f t="shared" si="4"/>
        <v>2</v>
      </c>
      <c r="AJ10" s="42">
        <f t="shared" si="4"/>
        <v>4</v>
      </c>
      <c r="AK10" s="42">
        <f t="shared" si="4"/>
        <v>0</v>
      </c>
      <c r="AL10" s="42">
        <f t="shared" si="4"/>
        <v>0</v>
      </c>
      <c r="AM10" s="42">
        <f t="shared" si="4"/>
        <v>8</v>
      </c>
      <c r="AO10" s="68">
        <v>2001</v>
      </c>
      <c r="AP10" s="70">
        <f>COUNTIF(NSTonghop!$AQ$8:$AQ$107,2001)</f>
        <v>2</v>
      </c>
      <c r="AQ10" s="70">
        <f>COUNTIFS(NSTonghop!$AQ$8:$AQ$107,2001,NSTonghop!$G$8:$G$107,"x")</f>
        <v>2</v>
      </c>
    </row>
    <row r="11" spans="1:43" ht="12" customHeight="1" x14ac:dyDescent="0.25">
      <c r="A11" s="404"/>
      <c r="B11" s="280">
        <v>27</v>
      </c>
      <c r="C11" s="269">
        <f t="shared" si="2"/>
        <v>1993</v>
      </c>
      <c r="D11" s="264">
        <f>COUNTIFS(NSTonghop!$J$8:$J$107,$A$5-B11,NSTonghop!$G$8:$G$107,"")</f>
        <v>0</v>
      </c>
      <c r="E11" s="264">
        <f>COUNTIFS(NSTonghop!$K$8:$K$107,$A$5-B11,NSTonghop!$G$8:$G$107,"=x")</f>
        <v>0</v>
      </c>
      <c r="F11" s="265">
        <f t="shared" si="0"/>
        <v>0</v>
      </c>
      <c r="G11" s="403"/>
      <c r="H11" s="280">
        <v>47</v>
      </c>
      <c r="I11" s="269">
        <f t="shared" si="3"/>
        <v>1973</v>
      </c>
      <c r="J11" s="264">
        <f>COUNTIFS(NSTonghop!$J$8:$J$107,$A$5-H11,NSTonghop!$G$8:$G$107,"")</f>
        <v>0</v>
      </c>
      <c r="K11" s="264">
        <f>COUNTIFS(NSTonghop!$K$8:$K$107,$A$5-H11,NSTonghop!$G$8:$G$107,"=x")</f>
        <v>0</v>
      </c>
      <c r="L11" s="265">
        <f t="shared" si="1"/>
        <v>0</v>
      </c>
      <c r="AO11" s="68">
        <v>2002</v>
      </c>
      <c r="AP11" s="70">
        <f>COUNTIF(NSTonghop!$AQ$8:$AQ$107,2002)</f>
        <v>1</v>
      </c>
      <c r="AQ11" s="70">
        <f>COUNTIFS(NSTonghop!$AQ$8:$AQ$107,2002,NSTonghop!$G$8:$G$107,"x")</f>
        <v>0</v>
      </c>
    </row>
    <row r="12" spans="1:43" ht="12" customHeight="1" x14ac:dyDescent="0.25">
      <c r="A12" s="404"/>
      <c r="B12" s="280">
        <v>28</v>
      </c>
      <c r="C12" s="269">
        <f t="shared" si="2"/>
        <v>1992</v>
      </c>
      <c r="D12" s="264">
        <f>COUNTIFS(NSTonghop!$J$8:$J$107,$A$5-B12,NSTonghop!$G$8:$G$107,"")</f>
        <v>0</v>
      </c>
      <c r="E12" s="264">
        <f>COUNTIFS(NSTonghop!$K$8:$K$107,$A$5-B12,NSTonghop!$G$8:$G$107,"=x")</f>
        <v>0</v>
      </c>
      <c r="F12" s="265">
        <f t="shared" si="0"/>
        <v>0</v>
      </c>
      <c r="G12" s="403"/>
      <c r="H12" s="280">
        <v>48</v>
      </c>
      <c r="I12" s="269">
        <f t="shared" si="3"/>
        <v>1972</v>
      </c>
      <c r="J12" s="264">
        <f>COUNTIFS(NSTonghop!$J$8:$J$107,$A$5-H12,NSTonghop!$G$8:$G$107,"")</f>
        <v>0</v>
      </c>
      <c r="K12" s="264">
        <f>COUNTIFS(NSTonghop!$K$8:$K$107,$A$5-H12,NSTonghop!$G$8:$G$107,"=x")</f>
        <v>0</v>
      </c>
      <c r="L12" s="265">
        <f t="shared" si="1"/>
        <v>0</v>
      </c>
      <c r="N12" s="760"/>
      <c r="O12" s="757" t="s">
        <v>564</v>
      </c>
      <c r="P12" s="759"/>
      <c r="Q12" s="762"/>
      <c r="R12" s="26"/>
      <c r="S12" s="26"/>
      <c r="T12" s="26"/>
      <c r="U12" s="27"/>
      <c r="V12" s="27"/>
      <c r="W12" s="27"/>
      <c r="X12" s="764"/>
      <c r="Y12" s="764"/>
      <c r="Z12" s="764"/>
      <c r="AA12" s="27"/>
      <c r="AB12" s="27"/>
      <c r="AC12" s="27"/>
      <c r="AD12" s="27"/>
      <c r="AE12" s="764"/>
      <c r="AF12" s="764"/>
      <c r="AG12" s="43"/>
      <c r="AH12" s="43"/>
      <c r="AI12" s="43"/>
      <c r="AJ12" s="43"/>
      <c r="AK12" s="43"/>
      <c r="AL12" s="43"/>
      <c r="AO12" s="68">
        <v>2003</v>
      </c>
      <c r="AP12" s="70">
        <f>COUNTIF(NSTonghop!$AQ$8:$AQ$107,2003)</f>
        <v>3</v>
      </c>
      <c r="AQ12" s="70">
        <f>COUNTIFS(NSTonghop!$AQ$8:$AQ$107,2003,NSTonghop!$G$8:$G$107,"x")</f>
        <v>0</v>
      </c>
    </row>
    <row r="13" spans="1:43" ht="12" customHeight="1" x14ac:dyDescent="0.25">
      <c r="A13" s="404"/>
      <c r="B13" s="280">
        <v>29</v>
      </c>
      <c r="C13" s="269">
        <f t="shared" si="2"/>
        <v>1991</v>
      </c>
      <c r="D13" s="264">
        <f>COUNTIFS(NSTonghop!$J$8:$J$107,$A$5-B13,NSTonghop!$G$8:$G$107,"")</f>
        <v>1</v>
      </c>
      <c r="E13" s="264">
        <f>COUNTIFS(NSTonghop!$K$8:$K$107,$A$5-B13,NSTonghop!$G$8:$G$107,"=x")</f>
        <v>2</v>
      </c>
      <c r="F13" s="265">
        <f t="shared" si="0"/>
        <v>3</v>
      </c>
      <c r="G13" s="403"/>
      <c r="H13" s="280">
        <v>49</v>
      </c>
      <c r="I13" s="269">
        <f t="shared" si="3"/>
        <v>1971</v>
      </c>
      <c r="J13" s="264">
        <f>COUNTIFS(NSTonghop!$J$8:$J$107,$A$5-H13,NSTonghop!$G$8:$G$107,"")</f>
        <v>0</v>
      </c>
      <c r="K13" s="264">
        <f>COUNTIFS(NSTonghop!$K$8:$K$107,$A$5-H13,NSTonghop!$G$8:$G$107,"=x")</f>
        <v>1</v>
      </c>
      <c r="L13" s="265">
        <f t="shared" si="1"/>
        <v>1</v>
      </c>
      <c r="N13" s="761"/>
      <c r="O13" s="64" t="s">
        <v>565</v>
      </c>
      <c r="P13" s="64" t="s">
        <v>527</v>
      </c>
      <c r="Q13" s="763"/>
      <c r="R13" s="27"/>
      <c r="S13" s="27"/>
      <c r="T13" s="27"/>
      <c r="U13" s="27"/>
      <c r="V13" s="27"/>
      <c r="W13" s="27"/>
      <c r="X13" s="27"/>
      <c r="Y13" s="27"/>
      <c r="Z13" s="27"/>
      <c r="AA13" s="27"/>
      <c r="AB13" s="27"/>
      <c r="AC13" s="27"/>
      <c r="AD13" s="27"/>
      <c r="AE13" s="27"/>
      <c r="AF13" s="27"/>
      <c r="AG13" s="27"/>
      <c r="AH13" s="27"/>
      <c r="AI13" s="27"/>
      <c r="AJ13" s="27"/>
      <c r="AK13" s="27"/>
      <c r="AL13" s="27"/>
      <c r="AO13" s="68">
        <v>2004</v>
      </c>
      <c r="AP13" s="70">
        <f>COUNTIF(NSTonghop!$AQ$8:$AQ$107,2004)</f>
        <v>2</v>
      </c>
      <c r="AQ13" s="70">
        <f>COUNTIFS(NSTonghop!$AQ$8:$AQ$107,2004,NSTonghop!$G$8:$G$107,"x")</f>
        <v>1</v>
      </c>
    </row>
    <row r="14" spans="1:43" ht="12" customHeight="1" x14ac:dyDescent="0.25">
      <c r="A14" s="404"/>
      <c r="B14" s="280">
        <v>30</v>
      </c>
      <c r="C14" s="269">
        <f t="shared" si="2"/>
        <v>1990</v>
      </c>
      <c r="D14" s="264">
        <f>COUNTIFS(NSTonghop!$J$8:$J$107,$A$5-B14,NSTonghop!$G$8:$G$107,"")</f>
        <v>0</v>
      </c>
      <c r="E14" s="264">
        <f>COUNTIFS(NSTonghop!$K$8:$K$107,$A$5-B14,NSTonghop!$G$8:$G$107,"=x")</f>
        <v>2</v>
      </c>
      <c r="F14" s="265">
        <f t="shared" si="0"/>
        <v>2</v>
      </c>
      <c r="G14" s="403"/>
      <c r="H14" s="280">
        <v>50</v>
      </c>
      <c r="I14" s="269">
        <f t="shared" si="3"/>
        <v>1970</v>
      </c>
      <c r="J14" s="264">
        <f>COUNTIFS(NSTonghop!$J$8:$J$107,$A$5-H14,NSTonghop!$G$8:$G$107,"")</f>
        <v>0</v>
      </c>
      <c r="K14" s="264">
        <f>COUNTIFS(NSTonghop!$K$8:$K$107,$A$5-H14,NSTonghop!$G$8:$G$107,"=x")</f>
        <v>1</v>
      </c>
      <c r="L14" s="265">
        <f t="shared" si="1"/>
        <v>1</v>
      </c>
      <c r="N14" s="39" t="s">
        <v>522</v>
      </c>
      <c r="O14" s="22">
        <f>COUNTIFS(NSTonghop!$AA$8:$AA$107,"SC*",NSTonghop!$L$8:$L$107,"NV**")</f>
        <v>0</v>
      </c>
      <c r="P14" s="22">
        <f>COUNTIFS(NSTonghop!$AA$8:$AA$107,"TC*",NSTonghop!$L$8:$L$107,"NV**")</f>
        <v>0</v>
      </c>
      <c r="Q14" s="22"/>
      <c r="R14" s="28"/>
      <c r="S14" s="28"/>
      <c r="T14" s="28"/>
      <c r="U14" s="28"/>
      <c r="V14" s="28"/>
      <c r="W14" s="28"/>
      <c r="X14" s="28"/>
      <c r="Y14" s="28"/>
      <c r="Z14" s="28"/>
      <c r="AA14" s="28"/>
      <c r="AB14" s="29"/>
      <c r="AC14" s="28"/>
      <c r="AD14" s="27"/>
      <c r="AE14" s="28"/>
      <c r="AF14" s="28"/>
      <c r="AG14" s="28"/>
      <c r="AH14" s="28"/>
      <c r="AI14" s="28"/>
      <c r="AJ14" s="28"/>
      <c r="AK14" s="28"/>
      <c r="AL14" s="28"/>
      <c r="AO14" s="68">
        <v>2005</v>
      </c>
      <c r="AP14" s="70">
        <f>COUNTIF(NSTonghop!$AQ$8:$AQ$107,2005)</f>
        <v>3</v>
      </c>
      <c r="AQ14" s="70">
        <f>COUNTIFS(NSTonghop!$AQ$8:$AQ$107,2005,NSTonghop!$G$8:$G$107,"x")</f>
        <v>3</v>
      </c>
    </row>
    <row r="15" spans="1:43" ht="12" customHeight="1" x14ac:dyDescent="0.25">
      <c r="A15" s="404"/>
      <c r="B15" s="280">
        <v>31</v>
      </c>
      <c r="C15" s="269">
        <f t="shared" si="2"/>
        <v>1989</v>
      </c>
      <c r="D15" s="264">
        <f>COUNTIFS(NSTonghop!$J$8:$J$107,$A$5-B15,NSTonghop!$G$8:$G$107,"")</f>
        <v>0</v>
      </c>
      <c r="E15" s="264">
        <f>COUNTIFS(NSTonghop!$K$8:$K$107,$A$5-B15,NSTonghop!$G$8:$G$107,"=x")</f>
        <v>1</v>
      </c>
      <c r="F15" s="265">
        <f t="shared" si="0"/>
        <v>1</v>
      </c>
      <c r="G15" s="403"/>
      <c r="H15" s="280">
        <v>51</v>
      </c>
      <c r="I15" s="269">
        <f t="shared" si="3"/>
        <v>1969</v>
      </c>
      <c r="J15" s="264">
        <f>COUNTIFS(NSTonghop!$J$8:$J$107,$A$5-H15,NSTonghop!$G$8:$G$107,"")</f>
        <v>1</v>
      </c>
      <c r="K15" s="264">
        <f>COUNTIFS(NSTonghop!$K$8:$K$107,$A$5-H15,NSTonghop!$G$8:$G$107,"=x")</f>
        <v>3</v>
      </c>
      <c r="L15" s="265">
        <f t="shared" si="1"/>
        <v>4</v>
      </c>
      <c r="N15" s="39" t="s">
        <v>523</v>
      </c>
      <c r="O15" s="22">
        <f>COUNTIFS(NSTonghop!$AA$8:$AA$107,"SC*",NSTonghop!$L$8:$L$107,"GV**")</f>
        <v>16</v>
      </c>
      <c r="P15" s="22">
        <f>COUNTIFS(NSTonghop!$AA$8:$AA$107,"TC*",NSTonghop!$L$8:$L$107,"gV**")</f>
        <v>5</v>
      </c>
      <c r="Q15" s="22"/>
      <c r="R15" s="28"/>
      <c r="S15" s="28"/>
      <c r="T15" s="28"/>
      <c r="U15" s="28"/>
      <c r="V15" s="28"/>
      <c r="W15" s="28"/>
      <c r="X15" s="28"/>
      <c r="Y15" s="28"/>
      <c r="Z15" s="28"/>
      <c r="AA15" s="28"/>
      <c r="AB15" s="29"/>
      <c r="AC15" s="28"/>
      <c r="AD15" s="27"/>
      <c r="AE15" s="30"/>
      <c r="AF15" s="30"/>
      <c r="AG15" s="30"/>
      <c r="AH15" s="30"/>
      <c r="AI15" s="30"/>
      <c r="AJ15" s="30"/>
      <c r="AK15" s="30"/>
      <c r="AL15" s="30"/>
      <c r="AO15" s="68">
        <v>2006</v>
      </c>
      <c r="AP15" s="70">
        <f>COUNTIF(NSTonghop!$AQ$8:$AQ$107,2006)</f>
        <v>3</v>
      </c>
      <c r="AQ15" s="70">
        <f>COUNTIFS(NSTonghop!$AQ$8:$AQ$107,2006,NSTonghop!$G$8:$G$107,"x")</f>
        <v>2</v>
      </c>
    </row>
    <row r="16" spans="1:43" ht="12" customHeight="1" x14ac:dyDescent="0.25">
      <c r="A16" s="404"/>
      <c r="B16" s="280">
        <v>32</v>
      </c>
      <c r="C16" s="269">
        <f t="shared" si="2"/>
        <v>1988</v>
      </c>
      <c r="D16" s="264">
        <f>COUNTIFS(NSTonghop!$J$8:$J$107,$A$5-B16,NSTonghop!$G$8:$G$107,"")</f>
        <v>1</v>
      </c>
      <c r="E16" s="264">
        <f>COUNTIFS(NSTonghop!$K$8:$K$107,$A$5-B16,NSTonghop!$G$8:$G$107,"=x")</f>
        <v>1</v>
      </c>
      <c r="F16" s="265">
        <f t="shared" si="0"/>
        <v>2</v>
      </c>
      <c r="G16" s="403"/>
      <c r="H16" s="280">
        <v>52</v>
      </c>
      <c r="I16" s="269">
        <f t="shared" si="3"/>
        <v>1968</v>
      </c>
      <c r="J16" s="264">
        <f>COUNTIFS(NSTonghop!$J$8:$J$107,$A$5-H16,NSTonghop!$G$8:$G$107,"")</f>
        <v>2</v>
      </c>
      <c r="K16" s="264">
        <f>COUNTIFS(NSTonghop!$K$8:$K$107,$A$5-H16,NSTonghop!$G$8:$G$107,"=x")</f>
        <v>1</v>
      </c>
      <c r="L16" s="265">
        <f t="shared" si="1"/>
        <v>3</v>
      </c>
      <c r="N16" s="39" t="s">
        <v>525</v>
      </c>
      <c r="O16" s="22">
        <f>COUNTIFS(NSTonghop!$AA$8:$AA$107,"SC*",NSTonghop!$L$8:$L$107,"HT**")</f>
        <v>0</v>
      </c>
      <c r="P16" s="22">
        <f>COUNTIFS(NSTonghop!$AA$8:$AA$107,"TC*",NSTonghop!$L$8:$L$107,"HT**")</f>
        <v>1</v>
      </c>
      <c r="Q16" s="22"/>
      <c r="R16" s="28"/>
      <c r="S16" s="28"/>
      <c r="T16" s="28"/>
      <c r="U16" s="28"/>
      <c r="V16" s="28"/>
      <c r="W16" s="28"/>
      <c r="X16" s="28"/>
      <c r="Y16" s="28"/>
      <c r="Z16" s="28"/>
      <c r="AA16" s="28"/>
      <c r="AB16" s="29"/>
      <c r="AC16" s="28"/>
      <c r="AD16" s="27"/>
      <c r="AE16" s="27"/>
      <c r="AF16" s="27"/>
      <c r="AG16" s="27"/>
      <c r="AH16" s="27"/>
      <c r="AI16" s="27"/>
      <c r="AJ16" s="27"/>
      <c r="AK16" s="27"/>
      <c r="AL16" s="27"/>
      <c r="AO16" s="68">
        <v>2007</v>
      </c>
      <c r="AP16" s="70">
        <f>COUNTIF(NSTonghop!$AQ$8:$AQ$107,2007)</f>
        <v>4</v>
      </c>
      <c r="AQ16" s="70">
        <f>COUNTIFS(NSTonghop!$AQ$8:$AQ$107,2007,NSTonghop!$G$8:$G$107,"x")</f>
        <v>3</v>
      </c>
    </row>
    <row r="17" spans="1:43" ht="12" customHeight="1" x14ac:dyDescent="0.25">
      <c r="A17" s="404"/>
      <c r="B17" s="280">
        <v>33</v>
      </c>
      <c r="C17" s="269">
        <f t="shared" si="2"/>
        <v>1987</v>
      </c>
      <c r="D17" s="264">
        <f>COUNTIFS(NSTonghop!$J$8:$J$107,$A$5-B17,NSTonghop!$G$8:$G$107,"")</f>
        <v>2</v>
      </c>
      <c r="E17" s="264">
        <f>COUNTIFS(NSTonghop!$K$8:$K$107,$A$5-B17,NSTonghop!$G$8:$G$107,"=x")</f>
        <v>1</v>
      </c>
      <c r="F17" s="265">
        <f t="shared" si="0"/>
        <v>3</v>
      </c>
      <c r="G17" s="403"/>
      <c r="H17" s="280">
        <v>53</v>
      </c>
      <c r="I17" s="269">
        <f t="shared" si="3"/>
        <v>1967</v>
      </c>
      <c r="J17" s="264">
        <f>COUNTIFS(NSTonghop!$J$8:$J$107,$A$5-H17,NSTonghop!$G$8:$G$107,"")</f>
        <v>1</v>
      </c>
      <c r="K17" s="264">
        <f>COUNTIFS(NSTonghop!$K$8:$K$107,$A$5-H17,NSTonghop!$G$8:$G$107,"=x")</f>
        <v>2</v>
      </c>
      <c r="L17" s="265">
        <f t="shared" si="1"/>
        <v>3</v>
      </c>
      <c r="N17" s="39" t="s">
        <v>524</v>
      </c>
      <c r="O17" s="22">
        <f>COUNTIFS(NSTonghop!$AA$8:$AA$107,"SC*",NSTonghop!$L$8:$L$107,"PHT**")</f>
        <v>0</v>
      </c>
      <c r="P17" s="22">
        <f>COUNTIFS(NSTonghop!$AA$8:$AA$107,"TC*",NSTonghop!$L$8:$L$107,"PHT**")</f>
        <v>2</v>
      </c>
      <c r="Q17" s="22"/>
      <c r="R17" s="28"/>
      <c r="S17" s="28"/>
      <c r="T17" s="31"/>
      <c r="U17" s="28"/>
      <c r="V17" s="28"/>
      <c r="W17" s="28"/>
      <c r="X17" s="28"/>
      <c r="Y17" s="28"/>
      <c r="Z17" s="28"/>
      <c r="AA17" s="28"/>
      <c r="AB17" s="29"/>
      <c r="AC17" s="28"/>
      <c r="AD17" s="27"/>
      <c r="AE17" s="27"/>
      <c r="AF17" s="27"/>
      <c r="AG17" s="27"/>
      <c r="AH17" s="27"/>
      <c r="AI17" s="27"/>
      <c r="AJ17" s="27"/>
      <c r="AK17" s="27"/>
      <c r="AL17" s="27"/>
      <c r="AO17" s="68">
        <v>2008</v>
      </c>
      <c r="AP17" s="70">
        <f>COUNTIF(NSTonghop!$AQ$8:$AQ$107,2008)</f>
        <v>8</v>
      </c>
      <c r="AQ17" s="70">
        <f>COUNTIFS(NSTonghop!$AQ$8:$AQ$107,2008,NSTonghop!$G$8:$G$107,"x")</f>
        <v>6</v>
      </c>
    </row>
    <row r="18" spans="1:43" ht="12" customHeight="1" x14ac:dyDescent="0.25">
      <c r="A18" s="404"/>
      <c r="B18" s="280">
        <v>34</v>
      </c>
      <c r="C18" s="269">
        <f t="shared" si="2"/>
        <v>1986</v>
      </c>
      <c r="D18" s="264">
        <f>COUNTIFS(NSTonghop!$J$8:$J$107,$A$5-B18,NSTonghop!$G$8:$G$107,"")</f>
        <v>2</v>
      </c>
      <c r="E18" s="264">
        <f>COUNTIFS(NSTonghop!$K$8:$K$107,$A$5-B18,NSTonghop!$G$8:$G$107,"=x")</f>
        <v>2</v>
      </c>
      <c r="F18" s="265">
        <f t="shared" si="0"/>
        <v>4</v>
      </c>
      <c r="G18" s="403"/>
      <c r="H18" s="280">
        <v>54</v>
      </c>
      <c r="I18" s="269">
        <f t="shared" si="3"/>
        <v>1966</v>
      </c>
      <c r="J18" s="264">
        <f>COUNTIFS(NSTonghop!$J$8:$J$107,$A$5-H18,NSTonghop!$G$8:$G$107,"")</f>
        <v>1</v>
      </c>
      <c r="K18" s="264">
        <f>COUNTIFS(NSTonghop!$K$8:$K$107,$A$5-H18,NSTonghop!$G$8:$G$107,"=x")</f>
        <v>3</v>
      </c>
      <c r="L18" s="265">
        <f t="shared" si="1"/>
        <v>4</v>
      </c>
      <c r="N18" s="40" t="s">
        <v>41</v>
      </c>
      <c r="O18" s="41">
        <f>SUM(O14:O17)</f>
        <v>16</v>
      </c>
      <c r="P18" s="41">
        <f>SUM(P14:P17)</f>
        <v>8</v>
      </c>
      <c r="Q18" s="41"/>
      <c r="R18" s="29"/>
      <c r="S18" s="29"/>
      <c r="T18" s="29"/>
      <c r="U18" s="29"/>
      <c r="V18" s="29"/>
      <c r="W18" s="29"/>
      <c r="X18" s="29"/>
      <c r="Y18" s="29"/>
      <c r="Z18" s="29"/>
      <c r="AA18" s="29"/>
      <c r="AB18" s="28"/>
      <c r="AC18" s="29"/>
      <c r="AD18" s="29"/>
      <c r="AE18" s="29"/>
      <c r="AF18" s="29"/>
      <c r="AG18" s="29"/>
      <c r="AH18" s="29"/>
      <c r="AI18" s="29"/>
      <c r="AJ18" s="29"/>
      <c r="AK18" s="29"/>
      <c r="AL18" s="29"/>
      <c r="AO18" s="68">
        <v>2009</v>
      </c>
      <c r="AP18" s="70">
        <f>COUNTIF(NSTonghop!$AQ$8:$AQ$107,2009)</f>
        <v>2</v>
      </c>
      <c r="AQ18" s="70">
        <f>COUNTIFS(NSTonghop!$AQ$8:$AQ$107,2009,NSTonghop!$G$8:$G$107,"x")</f>
        <v>1</v>
      </c>
    </row>
    <row r="19" spans="1:43" ht="12" customHeight="1" x14ac:dyDescent="0.25">
      <c r="A19" s="404"/>
      <c r="B19" s="280">
        <v>35</v>
      </c>
      <c r="C19" s="269">
        <f t="shared" si="2"/>
        <v>1985</v>
      </c>
      <c r="D19" s="264">
        <f>COUNTIFS(NSTonghop!$J$8:$J$107,$A$5-B19,NSTonghop!$G$8:$G$107,"")</f>
        <v>1</v>
      </c>
      <c r="E19" s="264">
        <f>COUNTIFS(NSTonghop!$K$8:$K$107,$A$5-B19,NSTonghop!$G$8:$G$107,"=x")</f>
        <v>0</v>
      </c>
      <c r="F19" s="265">
        <f t="shared" si="0"/>
        <v>1</v>
      </c>
      <c r="G19" s="403"/>
      <c r="H19" s="280">
        <v>55</v>
      </c>
      <c r="I19" s="269">
        <f t="shared" si="3"/>
        <v>1965</v>
      </c>
      <c r="J19" s="264">
        <f>COUNTIFS(NSTonghop!$J$8:$J$107,$A$5-H19,NSTonghop!$G$8:$G$107,"")</f>
        <v>2</v>
      </c>
      <c r="K19" s="264">
        <f>COUNTIFS(NSTonghop!$K$8:$K$107,$A$5-H19,NSTonghop!$G$8:$G$107,"=x")</f>
        <v>2</v>
      </c>
      <c r="L19" s="265">
        <f t="shared" si="1"/>
        <v>4</v>
      </c>
      <c r="AO19" s="68">
        <v>2010</v>
      </c>
      <c r="AP19" s="70">
        <f>COUNTIF(NSTonghop!$AQ$8:$AQ$107,2010)</f>
        <v>4</v>
      </c>
      <c r="AQ19" s="70">
        <f>COUNTIFS(NSTonghop!$AQ$8:$AQ$107,2010,NSTonghop!$G$8:$G$107,"x")</f>
        <v>2</v>
      </c>
    </row>
    <row r="20" spans="1:43" ht="12" customHeight="1" x14ac:dyDescent="0.25">
      <c r="A20" s="404"/>
      <c r="B20" s="280">
        <v>36</v>
      </c>
      <c r="C20" s="269">
        <f t="shared" si="2"/>
        <v>1984</v>
      </c>
      <c r="D20" s="264">
        <f>COUNTIFS(NSTonghop!$J$8:$J$107,$A$5-B20,NSTonghop!$G$8:$G$107,"")</f>
        <v>1</v>
      </c>
      <c r="E20" s="264">
        <f>COUNTIFS(NSTonghop!$K$8:$K$107,$A$5-B20,NSTonghop!$G$8:$G$107,"=x")</f>
        <v>1</v>
      </c>
      <c r="F20" s="265">
        <f t="shared" si="0"/>
        <v>2</v>
      </c>
      <c r="G20" s="403"/>
      <c r="H20" s="280">
        <v>56</v>
      </c>
      <c r="I20" s="269">
        <f t="shared" si="3"/>
        <v>1964</v>
      </c>
      <c r="J20" s="264">
        <f>COUNTIFS(NSTonghop!$J$8:$J$107,$A$5-H20,NSTonghop!$G$8:$G$107,"")</f>
        <v>3</v>
      </c>
      <c r="K20" s="468">
        <f>COUNTIFS(NSTonghop!$K$8:$K$107,$A$5-H20,NSTonghop!$G$8:$G$107,"=x")</f>
        <v>2</v>
      </c>
      <c r="L20" s="265">
        <f t="shared" si="1"/>
        <v>5</v>
      </c>
      <c r="AO20" s="68">
        <v>2011</v>
      </c>
      <c r="AP20" s="70">
        <f>COUNTIF(NSTonghop!$AQ$8:$AQ$107,2011)</f>
        <v>2</v>
      </c>
      <c r="AQ20" s="70">
        <f>COUNTIFS(NSTonghop!$AQ$8:$AQ$107,2011,NSTonghop!$G$8:$G$107,"x")</f>
        <v>1</v>
      </c>
    </row>
    <row r="21" spans="1:43" ht="12" customHeight="1" x14ac:dyDescent="0.25">
      <c r="A21" s="404"/>
      <c r="B21" s="280">
        <v>37</v>
      </c>
      <c r="C21" s="269">
        <f t="shared" si="2"/>
        <v>1983</v>
      </c>
      <c r="D21" s="264">
        <f>COUNTIFS(NSTonghop!$J$8:$J$107,$A$5-B21,NSTonghop!$G$8:$G$107,"")</f>
        <v>3</v>
      </c>
      <c r="E21" s="264">
        <f>COUNTIFS(NSTonghop!$K$8:$K$107,$A$5-B21,NSTonghop!$G$8:$G$107,"=x")</f>
        <v>3</v>
      </c>
      <c r="F21" s="265">
        <f t="shared" si="0"/>
        <v>6</v>
      </c>
      <c r="G21" s="403"/>
      <c r="H21" s="280">
        <v>57</v>
      </c>
      <c r="I21" s="269">
        <f t="shared" si="3"/>
        <v>1963</v>
      </c>
      <c r="J21" s="264">
        <f>COUNTIFS(NSTonghop!$J$8:$J$107,$A$5-H21,NSTonghop!$G$8:$G$107,"")</f>
        <v>0</v>
      </c>
      <c r="K21" s="468">
        <f>COUNTIFS(NSTonghop!$K$8:$K$107,$A$5-H21,NSTonghop!$G$8:$G$107,"=x")</f>
        <v>0</v>
      </c>
      <c r="L21" s="265">
        <f t="shared" si="1"/>
        <v>0</v>
      </c>
      <c r="AO21" s="68">
        <v>2012</v>
      </c>
      <c r="AP21" s="70">
        <f>COUNTIF(NSTonghop!$AQ$8:$AQ$107,2012)</f>
        <v>1</v>
      </c>
      <c r="AQ21" s="70">
        <f>COUNTIFS(NSTonghop!$AQ$8:$AQ$107,2012,NSTonghop!$G$8:$G$107,"x")</f>
        <v>0</v>
      </c>
    </row>
    <row r="22" spans="1:43" ht="12" customHeight="1" x14ac:dyDescent="0.25">
      <c r="A22" s="404"/>
      <c r="B22" s="280">
        <v>38</v>
      </c>
      <c r="C22" s="269">
        <f t="shared" si="2"/>
        <v>1982</v>
      </c>
      <c r="D22" s="264">
        <f>COUNTIFS(NSTonghop!$J$8:$J$107,$A$5-B22,NSTonghop!$G$8:$G$107,"")</f>
        <v>1</v>
      </c>
      <c r="E22" s="264">
        <f>COUNTIFS(NSTonghop!$K$8:$K$107,$A$5-B22,NSTonghop!$G$8:$G$107,"=x")</f>
        <v>2</v>
      </c>
      <c r="F22" s="265">
        <f t="shared" si="0"/>
        <v>3</v>
      </c>
      <c r="G22" s="403"/>
      <c r="H22" s="280">
        <v>58</v>
      </c>
      <c r="I22" s="269">
        <f t="shared" si="3"/>
        <v>1962</v>
      </c>
      <c r="J22" s="264">
        <f>COUNTIFS(NSTonghop!$J$8:$J$107,$A$5-H22,NSTonghop!$G$8:$G$107,"")</f>
        <v>0</v>
      </c>
      <c r="K22" s="468">
        <f>COUNTIFS(NSTonghop!$K$8:$K$107,$A$5-H22,NSTonghop!$G$8:$G$107,"=x")</f>
        <v>1</v>
      </c>
      <c r="L22" s="265">
        <f t="shared" si="1"/>
        <v>1</v>
      </c>
      <c r="AO22" s="68">
        <v>2013</v>
      </c>
      <c r="AP22" s="70">
        <f>COUNTIF(NSTonghop!$AQ$8:$AQ$107,2013)</f>
        <v>4</v>
      </c>
      <c r="AQ22" s="70">
        <f>COUNTIFS(NSTonghop!$AQ$8:$AQ$107,2013,NSTonghop!$G$8:$G$107,"x")</f>
        <v>1</v>
      </c>
    </row>
    <row r="23" spans="1:43" ht="12" customHeight="1" x14ac:dyDescent="0.25">
      <c r="A23" s="404"/>
      <c r="B23" s="280">
        <v>39</v>
      </c>
      <c r="C23" s="269">
        <f t="shared" si="2"/>
        <v>1981</v>
      </c>
      <c r="D23" s="264">
        <f>COUNTIFS(NSTonghop!$J$8:$J$107,$A$5-B23,NSTonghop!$G$8:$G$107,"")</f>
        <v>4</v>
      </c>
      <c r="E23" s="264">
        <f>COUNTIFS(NSTonghop!$K$8:$K$107,$A$5-B23,NSTonghop!$G$8:$G$107,"=x")</f>
        <v>7</v>
      </c>
      <c r="F23" s="265">
        <f t="shared" si="0"/>
        <v>11</v>
      </c>
      <c r="G23" s="403"/>
      <c r="H23" s="280">
        <v>59</v>
      </c>
      <c r="I23" s="269">
        <f>$A$5-H23</f>
        <v>1961</v>
      </c>
      <c r="J23" s="264">
        <f>COUNTIFS(NSTonghop!$J$8:$J$107,$A$5-H23,NSTonghop!$G$8:$G$107,"")</f>
        <v>0</v>
      </c>
      <c r="K23" s="468">
        <f>COUNTIFS(NSTonghop!$K$8:$K$107,$A$5-H23,NSTonghop!$G$8:$G$107,"=x")</f>
        <v>0</v>
      </c>
      <c r="L23" s="265">
        <f t="shared" si="1"/>
        <v>0</v>
      </c>
      <c r="AO23" s="68">
        <v>2014</v>
      </c>
      <c r="AP23" s="70">
        <f>COUNTIF(NSTonghop!$AQ$8:$AQ$107,2014)</f>
        <v>0</v>
      </c>
      <c r="AQ23" s="70">
        <f>COUNTIFS(NSTonghop!$AQ$8:$AQ$107,2014,NSTonghop!$G$8:$G$107,"x")</f>
        <v>0</v>
      </c>
    </row>
    <row r="24" spans="1:43" ht="12" customHeight="1" x14ac:dyDescent="0.25">
      <c r="A24" s="405"/>
      <c r="B24" s="281">
        <v>40</v>
      </c>
      <c r="C24" s="270">
        <f t="shared" si="2"/>
        <v>1980</v>
      </c>
      <c r="D24" s="266">
        <f>COUNTIFS(NSTonghop!$J$8:$J$107,$A$5-B24,NSTonghop!$G$8:$G$107,"")</f>
        <v>0</v>
      </c>
      <c r="E24" s="266">
        <f>COUNTIFS(NSTonghop!$K$8:$K$107,$A$5-B24,NSTonghop!$G$8:$G$107,"=x")</f>
        <v>1</v>
      </c>
      <c r="F24" s="267">
        <f t="shared" si="0"/>
        <v>1</v>
      </c>
      <c r="G24" s="406"/>
      <c r="H24" s="281">
        <v>60</v>
      </c>
      <c r="I24" s="270">
        <f t="shared" ref="I24:I29" si="5">$A$5-H24</f>
        <v>1960</v>
      </c>
      <c r="J24" s="266">
        <f>COUNTIFS(NSTonghop!$J$8:$J$107,$A$5-H24,NSTonghop!$G$8:$G$107,"")</f>
        <v>2</v>
      </c>
      <c r="K24" s="469">
        <f>COUNTIFS(NSTonghop!$K$8:$K$107,$A$5-H24,NSTonghop!$G$8:$G$107,"=x")</f>
        <v>0</v>
      </c>
      <c r="L24" s="267">
        <f t="shared" si="1"/>
        <v>2</v>
      </c>
      <c r="AO24" s="68">
        <v>2015</v>
      </c>
      <c r="AP24" s="70">
        <f>COUNTIF(NSTonghop!$AQ$8:$AQ$107,2015)</f>
        <v>2</v>
      </c>
      <c r="AQ24" s="70">
        <f>COUNTIFS(NSTonghop!$AQ$8:$AQ$107,2015,NSTonghop!$G$8:$G$107,"x")</f>
        <v>1</v>
      </c>
    </row>
    <row r="25" spans="1:43" ht="12" customHeight="1" x14ac:dyDescent="0.25">
      <c r="A25" s="286"/>
      <c r="B25" s="287"/>
      <c r="C25" s="288"/>
      <c r="D25" s="289"/>
      <c r="E25" s="289"/>
      <c r="F25" s="290"/>
      <c r="G25" s="276"/>
      <c r="H25" s="471">
        <v>61</v>
      </c>
      <c r="I25" s="472">
        <f t="shared" si="5"/>
        <v>1959</v>
      </c>
      <c r="J25" s="470">
        <f>COUNTIFS(NSTonghop!$J$8:$J$107,$A$5-H25,NSTonghop!$G$8:$G$107,"")</f>
        <v>0</v>
      </c>
      <c r="K25" s="470">
        <f>COUNTIFS(NSTonghop!$K$8:$K$107,$A$5-H25,NSTonghop!$G$8:$G$107,"=x")</f>
        <v>0</v>
      </c>
      <c r="L25" s="473">
        <f t="shared" ref="L25:L30" si="6">SUM(J25:K25)</f>
        <v>0</v>
      </c>
      <c r="AO25" s="68">
        <v>2016</v>
      </c>
      <c r="AP25" s="70">
        <f>COUNTIF(NSTonghop!$AQ$8:$AQ$107,2016)</f>
        <v>0</v>
      </c>
      <c r="AQ25" s="70">
        <f>COUNTIFS(NSTonghop!$AQ$8:$AQ$107,2016,NSTonghop!$G$8:$G$107,"x")</f>
        <v>0</v>
      </c>
    </row>
    <row r="26" spans="1:43" ht="12" customHeight="1" x14ac:dyDescent="0.25">
      <c r="A26" s="286"/>
      <c r="B26" s="287"/>
      <c r="C26" s="288"/>
      <c r="D26" s="289"/>
      <c r="E26" s="289"/>
      <c r="F26" s="290"/>
      <c r="G26" s="276"/>
      <c r="H26" s="474">
        <v>62</v>
      </c>
      <c r="I26" s="475">
        <f t="shared" si="5"/>
        <v>1958</v>
      </c>
      <c r="J26" s="468">
        <f>COUNTIFS(NSTonghop!$J$8:$J$107,$A$5-H26,NSTonghop!$G$8:$G$107,"")</f>
        <v>0</v>
      </c>
      <c r="K26" s="468">
        <f>COUNTIFS(NSTonghop!$K$8:$K$107,$A$5-H26,NSTonghop!$G$8:$G$107,"=x")</f>
        <v>0</v>
      </c>
      <c r="L26" s="476">
        <f t="shared" si="6"/>
        <v>0</v>
      </c>
      <c r="AO26" s="68">
        <v>2017</v>
      </c>
      <c r="AP26" s="70">
        <f>COUNTIF(NSTonghop!$AQ$8:$AQ$107,2017)</f>
        <v>0</v>
      </c>
      <c r="AQ26" s="70">
        <f>COUNTIFS(NSTonghop!$AQ$8:$AQ$107,2017,NSTonghop!$G$8:$G$107,"x")</f>
        <v>0</v>
      </c>
    </row>
    <row r="27" spans="1:43" ht="12" customHeight="1" x14ac:dyDescent="0.25">
      <c r="A27" s="286"/>
      <c r="B27" s="287"/>
      <c r="C27" s="288"/>
      <c r="D27" s="289"/>
      <c r="E27" s="289"/>
      <c r="F27" s="290"/>
      <c r="G27" s="276"/>
      <c r="H27" s="474">
        <v>63</v>
      </c>
      <c r="I27" s="475">
        <f t="shared" si="5"/>
        <v>1957</v>
      </c>
      <c r="J27" s="468">
        <f>COUNTIFS(NSTonghop!$J$8:$J$107,$A$5-H27,NSTonghop!$G$8:$G$107,"")</f>
        <v>0</v>
      </c>
      <c r="K27" s="468">
        <f>COUNTIFS(NSTonghop!$K$8:$K$107,$A$5-H27,NSTonghop!$G$8:$G$107,"=x")</f>
        <v>0</v>
      </c>
      <c r="L27" s="476">
        <f t="shared" si="6"/>
        <v>0</v>
      </c>
      <c r="AO27" s="68">
        <v>2018</v>
      </c>
      <c r="AP27" s="70">
        <f>COUNTIF(NSTonghop!$AQ$8:$AQ$107,2018)</f>
        <v>1</v>
      </c>
      <c r="AQ27" s="70">
        <f>COUNTIFS(NSTonghop!$AQ$8:$AQ$107,2016,NSTonghop!$G$8:$G$107,"x")</f>
        <v>0</v>
      </c>
    </row>
    <row r="28" spans="1:43" ht="12" customHeight="1" x14ac:dyDescent="0.25">
      <c r="A28" s="286"/>
      <c r="B28" s="287"/>
      <c r="C28" s="288"/>
      <c r="D28" s="289"/>
      <c r="E28" s="289"/>
      <c r="F28" s="290"/>
      <c r="G28" s="276"/>
      <c r="H28" s="474">
        <v>64</v>
      </c>
      <c r="I28" s="475">
        <f t="shared" si="5"/>
        <v>1956</v>
      </c>
      <c r="J28" s="468">
        <f>COUNTIFS(NSTonghop!$J$8:$J$107,$A$5-H28,NSTonghop!$G$8:$G$107,"")</f>
        <v>0</v>
      </c>
      <c r="K28" s="468">
        <f>COUNTIFS(NSTonghop!$K$8:$K$107,$A$5-H28,NSTonghop!$G$8:$G$107,"=x")</f>
        <v>0</v>
      </c>
      <c r="L28" s="476">
        <f t="shared" si="6"/>
        <v>0</v>
      </c>
    </row>
    <row r="29" spans="1:43" ht="12" customHeight="1" x14ac:dyDescent="0.25">
      <c r="A29" s="286"/>
      <c r="B29" s="287"/>
      <c r="C29" s="288"/>
      <c r="D29" s="289"/>
      <c r="E29" s="289"/>
      <c r="F29" s="290"/>
      <c r="G29" s="276"/>
      <c r="H29" s="477">
        <v>65</v>
      </c>
      <c r="I29" s="478">
        <f t="shared" si="5"/>
        <v>1955</v>
      </c>
      <c r="J29" s="469">
        <f>COUNTIFS(NSTonghop!$J$8:$J$107,$A$5-H29,NSTonghop!$G$8:$G$107,"")</f>
        <v>0</v>
      </c>
      <c r="K29" s="469">
        <f>COUNTIFS(NSTonghop!$K$8:$K$107,$A$5-H29,NSTonghop!$G$8:$G$107,"=x")</f>
        <v>0</v>
      </c>
      <c r="L29" s="479">
        <f t="shared" si="6"/>
        <v>0</v>
      </c>
    </row>
    <row r="30" spans="1:43" ht="12" customHeight="1" x14ac:dyDescent="0.25">
      <c r="A30" s="748" t="s">
        <v>41</v>
      </c>
      <c r="B30" s="749"/>
      <c r="C30" s="750"/>
      <c r="D30" s="283">
        <f>SUM(D5:D24)</f>
        <v>16</v>
      </c>
      <c r="E30" s="283">
        <f>SUM(E5:E24)</f>
        <v>23</v>
      </c>
      <c r="F30" s="283">
        <f>SUM(D30:E30)</f>
        <v>39</v>
      </c>
      <c r="H30" s="746" t="s">
        <v>41</v>
      </c>
      <c r="I30" s="747"/>
      <c r="J30" s="282">
        <f>SUM(J5:J24)</f>
        <v>19</v>
      </c>
      <c r="K30" s="282">
        <f>SUM(K5:K24)</f>
        <v>26</v>
      </c>
      <c r="L30" s="282">
        <f t="shared" si="6"/>
        <v>45</v>
      </c>
    </row>
    <row r="31" spans="1:43" ht="12" customHeight="1" x14ac:dyDescent="0.25">
      <c r="A31" s="751" t="s">
        <v>1015</v>
      </c>
      <c r="B31" s="752"/>
      <c r="C31" s="752"/>
      <c r="D31" s="285">
        <f>SUM(D30,J30)</f>
        <v>35</v>
      </c>
      <c r="E31" s="284">
        <f>SUM(E30,K30)</f>
        <v>49</v>
      </c>
      <c r="F31" s="285">
        <f>SUM(D31:E31)</f>
        <v>84</v>
      </c>
    </row>
    <row r="32" spans="1:43" ht="12" customHeight="1" x14ac:dyDescent="0.25"/>
    <row r="33" ht="12" customHeight="1" x14ac:dyDescent="0.25"/>
    <row r="34" ht="11.25" customHeight="1" x14ac:dyDescent="0.25"/>
    <row r="35" ht="11.25" customHeight="1" x14ac:dyDescent="0.25"/>
    <row r="36" ht="11.25" customHeight="1" x14ac:dyDescent="0.25"/>
    <row r="37" ht="11.25" customHeight="1" x14ac:dyDescent="0.25"/>
    <row r="38" ht="11.25" customHeight="1" x14ac:dyDescent="0.25"/>
    <row r="39" ht="11.25" customHeight="1" x14ac:dyDescent="0.25"/>
    <row r="40" ht="11.25" customHeight="1" x14ac:dyDescent="0.25"/>
    <row r="41" ht="11.25" customHeight="1" x14ac:dyDescent="0.25"/>
    <row r="42" ht="11.25" customHeight="1" x14ac:dyDescent="0.25"/>
    <row r="43" ht="11.25" customHeight="1" x14ac:dyDescent="0.25"/>
    <row r="44" ht="11.25" customHeight="1" x14ac:dyDescent="0.25"/>
    <row r="45" ht="11.25" customHeight="1" x14ac:dyDescent="0.25"/>
    <row r="46" ht="11.25" customHeight="1" x14ac:dyDescent="0.25"/>
    <row r="47" ht="11.25" customHeight="1" x14ac:dyDescent="0.25"/>
    <row r="48" ht="11.25" customHeight="1" x14ac:dyDescent="0.25"/>
    <row r="49" ht="11.25" customHeight="1" x14ac:dyDescent="0.25"/>
    <row r="50" ht="11.25" customHeight="1" x14ac:dyDescent="0.25"/>
    <row r="51" ht="11.25" customHeight="1" x14ac:dyDescent="0.25"/>
    <row r="52" ht="11.25" customHeight="1" x14ac:dyDescent="0.25"/>
    <row r="53" ht="11.25" customHeight="1" x14ac:dyDescent="0.25"/>
  </sheetData>
  <mergeCells count="18">
    <mergeCell ref="AO4:AQ4"/>
    <mergeCell ref="N12:N13"/>
    <mergeCell ref="O12:P12"/>
    <mergeCell ref="Q12:Q13"/>
    <mergeCell ref="X12:Z12"/>
    <mergeCell ref="AE12:AF12"/>
    <mergeCell ref="O4:P4"/>
    <mergeCell ref="Q4:T4"/>
    <mergeCell ref="U4:W4"/>
    <mergeCell ref="X4:Z4"/>
    <mergeCell ref="AA4:AA5"/>
    <mergeCell ref="AB4:AB5"/>
    <mergeCell ref="AM4:AM5"/>
    <mergeCell ref="H30:I30"/>
    <mergeCell ref="A30:C30"/>
    <mergeCell ref="A31:C31"/>
    <mergeCell ref="AC4:AD4"/>
    <mergeCell ref="AE4:AL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08"/>
  <sheetViews>
    <sheetView showZeros="0" workbookViewId="0">
      <pane xSplit="3" ySplit="7" topLeftCell="D41" activePane="bottomRight" state="frozen"/>
      <selection activeCell="AG1" sqref="AG1:AG1048576"/>
      <selection pane="topRight" activeCell="AG1" sqref="AG1:AG1048576"/>
      <selection pane="bottomLeft" activeCell="AG1" sqref="AG1:AG1048576"/>
      <selection pane="bottomRight" activeCell="R46" sqref="R46"/>
    </sheetView>
  </sheetViews>
  <sheetFormatPr defaultColWidth="8.7109375" defaultRowHeight="15" x14ac:dyDescent="0.25"/>
  <cols>
    <col min="1" max="1" width="3.85546875" style="15" customWidth="1"/>
    <col min="2" max="2" width="12" style="15" customWidth="1"/>
    <col min="3" max="3" width="18.85546875" style="15" customWidth="1"/>
    <col min="4" max="4" width="6.5703125" style="15" customWidth="1"/>
    <col min="5" max="5" width="4.42578125" style="15" customWidth="1"/>
    <col min="6" max="6" width="4.7109375" style="15" customWidth="1"/>
    <col min="7" max="7" width="9.7109375" style="15" customWidth="1"/>
    <col min="8" max="8" width="8.140625" style="15" customWidth="1"/>
    <col min="9" max="9" width="3.7109375" style="15" customWidth="1"/>
    <col min="10" max="10" width="5.28515625" style="15" customWidth="1"/>
    <col min="11" max="11" width="8.7109375" style="15" customWidth="1"/>
    <col min="12" max="12" width="4.28515625" style="15" customWidth="1"/>
    <col min="13" max="13" width="5.7109375" style="15" customWidth="1"/>
    <col min="14" max="14" width="8.7109375" style="690" customWidth="1"/>
    <col min="15" max="16" width="4" style="15" customWidth="1"/>
    <col min="17" max="17" width="4.7109375" style="15" customWidth="1"/>
    <col min="18" max="18" width="8" style="15" customWidth="1"/>
    <col min="19" max="26" width="5.42578125" style="15" customWidth="1"/>
    <col min="27" max="27" width="7" style="15" customWidth="1"/>
    <col min="28" max="33" width="5.42578125" style="15" customWidth="1"/>
    <col min="34" max="16384" width="8.7109375" style="15"/>
  </cols>
  <sheetData>
    <row r="1" spans="1:34" ht="20.25" x14ac:dyDescent="0.3">
      <c r="F1" s="662">
        <f ca="1">NOW()</f>
        <v>43990.388564120367</v>
      </c>
      <c r="H1" s="664" t="str">
        <f ca="1">"tháng "&amp;MONTH(F1)</f>
        <v>tháng 6</v>
      </c>
      <c r="I1" s="664" t="str">
        <f ca="1">"năm "&amp;YEAR(F1)</f>
        <v>năm 2020</v>
      </c>
    </row>
    <row r="5" spans="1:34" ht="11.25" customHeight="1" x14ac:dyDescent="0.25">
      <c r="A5" s="775" t="s">
        <v>0</v>
      </c>
      <c r="B5" s="782" t="s">
        <v>581</v>
      </c>
      <c r="C5" s="776" t="s">
        <v>2</v>
      </c>
      <c r="D5" s="779" t="s">
        <v>61</v>
      </c>
      <c r="E5" s="780"/>
      <c r="F5" s="780"/>
      <c r="G5" s="780"/>
      <c r="H5" s="780"/>
      <c r="I5" s="780"/>
      <c r="J5" s="780"/>
      <c r="K5" s="781"/>
      <c r="L5" s="771" t="s">
        <v>15</v>
      </c>
      <c r="M5" s="771"/>
      <c r="N5" s="771"/>
      <c r="O5" s="771"/>
      <c r="P5" s="771"/>
      <c r="Q5" s="771"/>
      <c r="R5" s="775" t="s">
        <v>16</v>
      </c>
      <c r="S5" s="775"/>
      <c r="T5" s="775"/>
      <c r="U5" s="775"/>
      <c r="V5" s="775"/>
      <c r="W5" s="775"/>
      <c r="X5" s="775"/>
      <c r="Y5" s="775"/>
      <c r="Z5" s="775"/>
      <c r="AA5" s="775"/>
      <c r="AB5" s="775"/>
      <c r="AC5" s="775"/>
      <c r="AD5" s="775"/>
      <c r="AE5" s="775"/>
      <c r="AF5" s="775"/>
      <c r="AG5" s="775"/>
      <c r="AH5" s="771" t="s">
        <v>19</v>
      </c>
    </row>
    <row r="6" spans="1:34" ht="18" customHeight="1" x14ac:dyDescent="0.25">
      <c r="A6" s="775"/>
      <c r="B6" s="783"/>
      <c r="C6" s="777"/>
      <c r="D6" s="772" t="s">
        <v>58</v>
      </c>
      <c r="E6" s="773"/>
      <c r="F6" s="773"/>
      <c r="G6" s="774"/>
      <c r="H6" s="772" t="s">
        <v>387</v>
      </c>
      <c r="I6" s="773"/>
      <c r="J6" s="773"/>
      <c r="K6" s="774"/>
      <c r="L6" s="771"/>
      <c r="M6" s="771"/>
      <c r="N6" s="771"/>
      <c r="O6" s="771"/>
      <c r="P6" s="771"/>
      <c r="Q6" s="771"/>
      <c r="R6" s="775">
        <v>2018</v>
      </c>
      <c r="S6" s="775"/>
      <c r="T6" s="775">
        <v>2019</v>
      </c>
      <c r="U6" s="775"/>
      <c r="V6" s="775">
        <v>2020</v>
      </c>
      <c r="W6" s="775"/>
      <c r="X6" s="775">
        <v>2021</v>
      </c>
      <c r="Y6" s="775"/>
      <c r="Z6" s="775">
        <v>2022</v>
      </c>
      <c r="AA6" s="775"/>
      <c r="AB6" s="775">
        <v>2023</v>
      </c>
      <c r="AC6" s="775"/>
      <c r="AD6" s="775">
        <v>2024</v>
      </c>
      <c r="AE6" s="775"/>
      <c r="AF6" s="775">
        <v>2025</v>
      </c>
      <c r="AG6" s="775"/>
      <c r="AH6" s="771"/>
    </row>
    <row r="7" spans="1:34" ht="35.25" customHeight="1" x14ac:dyDescent="0.25">
      <c r="A7" s="775"/>
      <c r="B7" s="784"/>
      <c r="C7" s="778"/>
      <c r="D7" s="32" t="s">
        <v>59</v>
      </c>
      <c r="E7" s="32" t="s">
        <v>33</v>
      </c>
      <c r="F7" s="32" t="s">
        <v>35</v>
      </c>
      <c r="G7" s="32" t="s">
        <v>60</v>
      </c>
      <c r="H7" s="32" t="s">
        <v>59</v>
      </c>
      <c r="I7" s="32" t="s">
        <v>33</v>
      </c>
      <c r="J7" s="32" t="s">
        <v>35</v>
      </c>
      <c r="K7" s="32" t="s">
        <v>60</v>
      </c>
      <c r="L7" s="16" t="s">
        <v>29</v>
      </c>
      <c r="M7" s="17" t="s">
        <v>30</v>
      </c>
      <c r="N7" s="18" t="s">
        <v>31</v>
      </c>
      <c r="O7" s="18" t="s">
        <v>32</v>
      </c>
      <c r="P7" s="16" t="s">
        <v>33</v>
      </c>
      <c r="Q7" s="19" t="s">
        <v>34</v>
      </c>
      <c r="R7" s="32" t="s">
        <v>29</v>
      </c>
      <c r="S7" s="33" t="s">
        <v>35</v>
      </c>
      <c r="T7" s="32" t="s">
        <v>29</v>
      </c>
      <c r="U7" s="33" t="s">
        <v>35</v>
      </c>
      <c r="V7" s="32" t="s">
        <v>29</v>
      </c>
      <c r="W7" s="33" t="s">
        <v>35</v>
      </c>
      <c r="X7" s="32" t="s">
        <v>29</v>
      </c>
      <c r="Y7" s="33" t="s">
        <v>35</v>
      </c>
      <c r="Z7" s="32" t="s">
        <v>29</v>
      </c>
      <c r="AA7" s="33" t="s">
        <v>35</v>
      </c>
      <c r="AB7" s="32" t="s">
        <v>29</v>
      </c>
      <c r="AC7" s="33" t="s">
        <v>35</v>
      </c>
      <c r="AD7" s="32" t="s">
        <v>29</v>
      </c>
      <c r="AE7" s="33" t="s">
        <v>35</v>
      </c>
      <c r="AF7" s="32" t="s">
        <v>29</v>
      </c>
      <c r="AG7" s="33" t="s">
        <v>35</v>
      </c>
      <c r="AH7" s="771"/>
    </row>
    <row r="8" spans="1:34" x14ac:dyDescent="0.25">
      <c r="A8" s="44">
        <f>IF(C8=0,0,1)</f>
        <v>1</v>
      </c>
      <c r="B8" s="45">
        <f>NSTonghop!E8</f>
        <v>0</v>
      </c>
      <c r="C8" s="45" t="str">
        <f>NSTonghop!F8</f>
        <v>Lê Thị Nhung</v>
      </c>
      <c r="D8" s="46">
        <v>6032</v>
      </c>
      <c r="E8" s="47">
        <v>1</v>
      </c>
      <c r="F8" s="47">
        <v>1.86</v>
      </c>
      <c r="G8" s="693" t="str">
        <f>NSTonghop!AL8</f>
        <v>01/10/2005</v>
      </c>
      <c r="H8" s="46">
        <v>6031</v>
      </c>
      <c r="I8" s="47">
        <v>2</v>
      </c>
      <c r="J8" s="49">
        <v>2.67</v>
      </c>
      <c r="K8" s="48">
        <v>41275</v>
      </c>
      <c r="L8" s="48" t="s">
        <v>348</v>
      </c>
      <c r="M8" s="47">
        <v>2015</v>
      </c>
      <c r="N8" s="688" t="str">
        <f>NSTonghop!AG8</f>
        <v>06.031</v>
      </c>
      <c r="O8" s="48" t="s">
        <v>363</v>
      </c>
      <c r="P8" s="47">
        <v>3</v>
      </c>
      <c r="Q8" s="50">
        <v>3</v>
      </c>
      <c r="R8" s="51" t="str">
        <f>IF(OR($R$6-$M8=3,$R$6-$M8=6,$R$6-$M8=9,$R$6-$M8=12,$R$6-$M8=15,$R$6-$M8=18,$R$6-$M8=21,$R$6-$M8=24),$L8,"")</f>
        <v>1/7</v>
      </c>
      <c r="S8" s="52">
        <f>IF($R8="","",IF(AND($R$6-$M8=3,$O8="a1"),$Q8+0.33,$Q8+0.31))</f>
        <v>3.33</v>
      </c>
      <c r="T8" s="51" t="str">
        <f>IF(OR($T$6-$M8=3,$T$6-$M8=6,$T$6-$M8=9,$T$6-$M8=12,$T$6-$M8=15,$T$6-$M8=18,$T$6-$M8=21,$T$6-$M8=24),$L8,"")</f>
        <v/>
      </c>
      <c r="U8" s="52" t="str">
        <f>IF($T8="","",IF(AND($T$6-$M8=3,$O8="a1"),$Q8+0.33,$Q8+0.31))</f>
        <v/>
      </c>
      <c r="V8" s="51" t="str">
        <f>IF(OR($V$6-$M8=3,$V$6-$M8=6,$V$6-$M8=9,$V$6-$M8=12,$V$6-$M8=15,$V$6-$M8=18,$V$6-$M8=21,$V$6-$M8=24),$L8,"")</f>
        <v/>
      </c>
      <c r="W8" s="52" t="str">
        <f>IF($V8="","",(IF(AND($V$6-$M8=3,$O8="a1"),$Q8+0.33,IF(AND($V$6-$M8=3,$O8="a2"),$Q8+0.31,IF(AND($V$6-$M8=6,$O8="a1"),$Q8+0.33,$Q8+0.31)))))</f>
        <v/>
      </c>
      <c r="X8" s="51" t="str">
        <f>IF(OR($X$6-$M8=3,$X$6-$M8=6,$X$6-$M8=9,$X$6-$M8=12,$X$6-$M8=15,$X$6-$M8=18,$X$6-$M8=21,$X$6-$M8=24),$L8,"")</f>
        <v>1/7</v>
      </c>
      <c r="Y8" s="52">
        <f>IF($X8="","",IF(AND($X$6-$M8=3,$O8="a1",$O8="a1"),$Q8+0.33,IF(AND($X$6-$M8=3,$O8="a2"),$Q8+0.31,IF(AND($X$6-$M8=6,$O8="a1"),$S8+0.33,$S8+0.31))))</f>
        <v>3.66</v>
      </c>
      <c r="Z8" s="51" t="str">
        <f>IF(OR($Z$6-$M8=3,$Z$6-$M8=6,$Z$6-$M8=9,$Z$6-$M8=12,$Z$6-$M8=15,$Z$6-$M8=18,$Z$6-$M8=21,$Z$6-$M8=24),$L8,"")</f>
        <v/>
      </c>
      <c r="AA8" s="52" t="str">
        <f>IF($Z8="","",IF(AND(OR($Z$6-$M8=3,$Z$6-$M8=6),$O8="a1"),$U8+0.33,$U8+0.31))</f>
        <v/>
      </c>
      <c r="AB8" s="51" t="str">
        <f>IF(OR($AB$6-$M8=3,$AB$6-$M8=6,$AB$6-$M8=9,$AB$6-$M8=12,$AB$6-$M8=15,$AB$6-$M8=18,$AB$6-$M8=21,$AB$6-$M8=24),$L8,"")</f>
        <v/>
      </c>
      <c r="AC8" s="52" t="str">
        <f>IF($AB8="","",IF(AND(OR($AB$6-$M8=9,$AB$6-$M8=6),$O8="a1"),$W8+0.33,$W8+0.31))</f>
        <v/>
      </c>
      <c r="AD8" s="51" t="str">
        <f>IF(OR($AD$6-$M8=3,$AD$6-$M8=6,$AD$6-$M8=9,$AD$6-$M8=12,$AD$6-$M8=15,$AD$6-$M8=18,$AD$6-$M8=21,$AD$6-$M8=24),$L8,"")</f>
        <v>1/7</v>
      </c>
      <c r="AE8" s="52">
        <f>IF($AD8="","",IF(AND(OR($AD$6-$M8=3,$AD$6-$M8=6,$AD$6-$M8=9),$O8="a1"),$Y8+0.33,$Y8+0.31))</f>
        <v>3.99</v>
      </c>
      <c r="AF8" s="51" t="str">
        <f>IF(OR($AF$6-$M8=3,$AF$6-$M8=6,$AF$6-$M8=9,$AF$6-$M8=12,$AF$6-$M8=15,$AF$6-$M8=18,$AF$6-$M8=21,$AF$6-$M8=24),$L8,"")</f>
        <v/>
      </c>
      <c r="AG8" s="52" t="str">
        <f>IF($AF8="","",IF(AND($AF$6-$M8=9,$O8="a1"),$AA8+0.33,$AA8+0.31))</f>
        <v/>
      </c>
      <c r="AH8" s="53"/>
    </row>
    <row r="9" spans="1:34" x14ac:dyDescent="0.25">
      <c r="A9" s="54">
        <f>IF(C9=0,0,MAX($A$8:A8)+1)</f>
        <v>2</v>
      </c>
      <c r="B9" s="55">
        <f>NSTonghop!E9</f>
        <v>0</v>
      </c>
      <c r="C9" s="55" t="str">
        <f>NSTonghop!F9</f>
        <v>Lê Thị Bích Thy</v>
      </c>
      <c r="D9" s="56" t="s">
        <v>573</v>
      </c>
      <c r="E9" s="57" t="s">
        <v>573</v>
      </c>
      <c r="F9" s="57">
        <v>242</v>
      </c>
      <c r="G9" s="694" t="str">
        <f>NSTonghop!AL9</f>
        <v>16/11/1990</v>
      </c>
      <c r="H9" s="56">
        <v>6035</v>
      </c>
      <c r="I9" s="57">
        <v>7</v>
      </c>
      <c r="J9" s="59">
        <v>2.58</v>
      </c>
      <c r="K9" s="58">
        <v>37987</v>
      </c>
      <c r="L9" s="58" t="s">
        <v>348</v>
      </c>
      <c r="M9" s="57">
        <v>2013</v>
      </c>
      <c r="N9" s="689" t="str">
        <f>NSTonghop!AG9</f>
        <v>06.035</v>
      </c>
      <c r="O9" s="58" t="s">
        <v>347</v>
      </c>
      <c r="P9" s="57">
        <v>12</v>
      </c>
      <c r="Q9" s="60">
        <v>3.48</v>
      </c>
      <c r="R9" s="112" t="s">
        <v>348</v>
      </c>
      <c r="S9" s="78">
        <v>0.08</v>
      </c>
      <c r="T9" s="408"/>
      <c r="U9" s="407"/>
      <c r="V9" s="408"/>
      <c r="W9" s="407"/>
      <c r="X9" s="408"/>
      <c r="Y9" s="407"/>
      <c r="Z9" s="408"/>
      <c r="AA9" s="407"/>
      <c r="AB9" s="408"/>
      <c r="AC9" s="407"/>
      <c r="AD9" s="408"/>
      <c r="AE9" s="407"/>
      <c r="AF9" s="408"/>
      <c r="AG9" s="407"/>
      <c r="AH9" s="62"/>
    </row>
    <row r="10" spans="1:34" x14ac:dyDescent="0.25">
      <c r="A10" s="54">
        <f>IF(C10=0,0,MAX($A$8:A9)+1)</f>
        <v>3</v>
      </c>
      <c r="B10" s="55">
        <f>NSTonghop!E10</f>
        <v>0</v>
      </c>
      <c r="C10" s="55" t="str">
        <f>NSTonghop!F10</f>
        <v>Phạm Thị Ngọc Thủy</v>
      </c>
      <c r="D10" s="56">
        <v>17171</v>
      </c>
      <c r="E10" s="57">
        <v>1</v>
      </c>
      <c r="F10" s="57">
        <v>1.46</v>
      </c>
      <c r="G10" s="694" t="str">
        <f>NSTonghop!AL10</f>
        <v>01/06/1996</v>
      </c>
      <c r="H10" s="56">
        <v>17171</v>
      </c>
      <c r="I10" s="57">
        <v>5</v>
      </c>
      <c r="J10" s="59">
        <v>2.66</v>
      </c>
      <c r="K10" s="58">
        <v>38261</v>
      </c>
      <c r="L10" s="58" t="s">
        <v>354</v>
      </c>
      <c r="M10" s="57">
        <v>2017</v>
      </c>
      <c r="N10" s="689" t="str">
        <f>NSTonghop!AG10</f>
        <v>V.10.02.07</v>
      </c>
      <c r="O10" s="58" t="s">
        <v>347</v>
      </c>
      <c r="P10" s="57">
        <v>12</v>
      </c>
      <c r="Q10" s="60">
        <v>4.0599999999999996</v>
      </c>
      <c r="R10" s="51" t="str">
        <f>IF(OR($R$6-$M10=2,$R$6-$M10=4,$R$6-$M10=6,$R$6-$M10=8,$R$6-$M10=10,$R$6-$M10=12,$R$6-$M10=14,$R$6-$M10=16),$L10,"")</f>
        <v/>
      </c>
      <c r="S10" s="52" t="str">
        <f>IF($R10="","",IF(AND($R$6-$M10=2,$O10="B"),$Q10+0.2,$Q10+0.18))</f>
        <v/>
      </c>
      <c r="T10" s="77" t="str">
        <f>IF(OR($T$6-$M10=2,$T$6-$M10=4,$T$6-$M10=6,$T$6-$M10=8,$T$6-$M10=10,$T$6-$M10=12,$T$6-$M10=14,$T$6-$M10=16),$L10,"")</f>
        <v>1/12</v>
      </c>
      <c r="U10" s="78">
        <v>0.05</v>
      </c>
      <c r="V10" s="408"/>
      <c r="W10" s="407"/>
      <c r="X10" s="408"/>
      <c r="Y10" s="407"/>
      <c r="Z10" s="408"/>
      <c r="AA10" s="407"/>
      <c r="AB10" s="408"/>
      <c r="AC10" s="407"/>
      <c r="AD10" s="408"/>
      <c r="AE10" s="407"/>
      <c r="AF10" s="408"/>
      <c r="AG10" s="407"/>
      <c r="AH10" s="62"/>
    </row>
    <row r="11" spans="1:34" x14ac:dyDescent="0.25">
      <c r="A11" s="54">
        <f>IF(C11=0,0,MAX($A$8:A10)+1)</f>
        <v>4</v>
      </c>
      <c r="B11" s="55" t="str">
        <f>NSTonghop!E11</f>
        <v>Chuyển Bình Mỹ 7/19</v>
      </c>
      <c r="C11" s="55" t="str">
        <f>NSTonghop!F11</f>
        <v>Bùi Phú Lộc</v>
      </c>
      <c r="D11" s="56">
        <v>1003</v>
      </c>
      <c r="E11" s="57">
        <v>1</v>
      </c>
      <c r="F11" s="57">
        <v>2.34</v>
      </c>
      <c r="G11" s="694" t="str">
        <f>NSTonghop!AL11</f>
        <v>01/09/2014</v>
      </c>
      <c r="H11" s="56">
        <v>1003</v>
      </c>
      <c r="I11" s="57">
        <v>1</v>
      </c>
      <c r="J11" s="59">
        <v>2.34</v>
      </c>
      <c r="K11" s="58">
        <v>42248</v>
      </c>
      <c r="L11" s="58" t="s">
        <v>362</v>
      </c>
      <c r="M11" s="57">
        <v>2015</v>
      </c>
      <c r="N11" s="689" t="str">
        <f>NSTonghop!AG11</f>
        <v>01.003</v>
      </c>
      <c r="O11" s="58" t="s">
        <v>363</v>
      </c>
      <c r="P11" s="57">
        <v>1</v>
      </c>
      <c r="Q11" s="60">
        <v>2.34</v>
      </c>
      <c r="R11" s="51" t="str">
        <f t="shared" ref="R11" si="0">IF(OR($R$6-$M11=3,$R$6-$M11=6,$R$6-$M11=9,$R$6-$M11=12,$R$6-$M11=15,$R$6-$M11=18,$R$6-$M11=21,$R$6-$M11=24),$L11,"")</f>
        <v>1/9</v>
      </c>
      <c r="S11" s="52">
        <f t="shared" ref="S11" si="1">IF($R11="","",IF(AND($R$6-$M11=3,$O11="a1"),$Q11+0.33,$Q11+0.31))</f>
        <v>2.67</v>
      </c>
      <c r="T11" s="51" t="str">
        <f t="shared" ref="T11" si="2">IF(OR($T$6-$M11=3,$T$6-$M11=6,$T$6-$M11=9,$T$6-$M11=12,$T$6-$M11=15,$T$6-$M11=18,$T$6-$M11=21,$T$6-$M11=24),$L11,"")</f>
        <v/>
      </c>
      <c r="U11" s="52" t="str">
        <f t="shared" ref="U11" si="3">IF($T11="","",IF(AND($T$6-$M11=3,$O11="a1"),$Q11+0.33,$Q11+0.31))</f>
        <v/>
      </c>
      <c r="V11" s="51" t="str">
        <f t="shared" ref="V11" si="4">IF(OR($V$6-$M11=3,$V$6-$M11=6,$V$6-$M11=9,$V$6-$M11=12,$V$6-$M11=15,$V$6-$M11=18,$V$6-$M11=21,$V$6-$M11=24),$L11,"")</f>
        <v/>
      </c>
      <c r="W11" s="52" t="str">
        <f t="shared" ref="W11" si="5">IF($V11="","",(IF(AND($V$6-$M11=3,$O11="a1"),$Q11+0.33,IF(AND($V$6-$M11=3,$O11="a2"),$Q11+0.31,IF(AND($V$6-$M11=6,$O11="a1"),$Q11+0.33,$Q11+0.31)))))</f>
        <v/>
      </c>
      <c r="X11" s="51" t="str">
        <f t="shared" ref="X11" si="6">IF(OR($X$6-$M11=3,$X$6-$M11=6,$X$6-$M11=9,$X$6-$M11=12,$X$6-$M11=15,$X$6-$M11=18,$X$6-$M11=21,$X$6-$M11=24),$L11,"")</f>
        <v>1/9</v>
      </c>
      <c r="Y11" s="52">
        <f t="shared" ref="Y11" si="7">IF($X11="","",IF(AND($X$6-$M11=3,$O11="a1",$O11="a1"),$Q11+0.33,IF(AND($X$6-$M11=3,$O11="a2"),$Q11+0.31,IF(AND($X$6-$M11=6,$O11="a1"),$S11+0.33,$S11+0.31))))</f>
        <v>3</v>
      </c>
      <c r="Z11" s="51" t="str">
        <f t="shared" ref="Z11" si="8">IF(OR($Z$6-$M11=3,$Z$6-$M11=6,$Z$6-$M11=9,$Z$6-$M11=12,$Z$6-$M11=15,$Z$6-$M11=18,$Z$6-$M11=21,$Z$6-$M11=24),$L11,"")</f>
        <v/>
      </c>
      <c r="AA11" s="52" t="str">
        <f t="shared" ref="AA11" si="9">IF($Z11="","",IF(AND(OR($Z$6-$M11=3,$Z$6-$M11=6),$O11="a1"),$U11+0.33,$U11+0.31))</f>
        <v/>
      </c>
      <c r="AB11" s="51" t="str">
        <f t="shared" ref="AB11" si="10">IF(OR($AB$6-$M11=3,$AB$6-$M11=6,$AB$6-$M11=9,$AB$6-$M11=12,$AB$6-$M11=15,$AB$6-$M11=18,$AB$6-$M11=21,$AB$6-$M11=24),$L11,"")</f>
        <v/>
      </c>
      <c r="AC11" s="52" t="str">
        <f t="shared" ref="AC11" si="11">IF($AB11="","",IF(AND(OR($AB$6-$M11=9,$AB$6-$M11=6),$O11="a1"),$W11+0.33,$W11+0.31))</f>
        <v/>
      </c>
      <c r="AD11" s="51" t="str">
        <f t="shared" ref="AD11" si="12">IF(OR($AD$6-$M11=3,$AD$6-$M11=6,$AD$6-$M11=9,$AD$6-$M11=12,$AD$6-$M11=15,$AD$6-$M11=18,$AD$6-$M11=21,$AD$6-$M11=24),$L11,"")</f>
        <v>1/9</v>
      </c>
      <c r="AE11" s="52">
        <f t="shared" ref="AE11" si="13">IF($AD11="","",IF(AND(OR($AD$6-$M11=3,$AD$6-$M11=6,$AD$6-$M11=9),$O11="a1"),$Y11+0.33,$Y11+0.31))</f>
        <v>3.33</v>
      </c>
      <c r="AF11" s="51" t="str">
        <f t="shared" ref="AF11" si="14">IF(OR($AF$6-$M11=3,$AF$6-$M11=6,$AF$6-$M11=9,$AF$6-$M11=12,$AF$6-$M11=15,$AF$6-$M11=18,$AF$6-$M11=21,$AF$6-$M11=24),$L11,"")</f>
        <v/>
      </c>
      <c r="AG11" s="52" t="str">
        <f t="shared" ref="AG11" si="15">IF($AF11="","",IF(AND($AF$6-$M11=9,$O11="a1"),$AA11+0.33,$AA11+0.31))</f>
        <v/>
      </c>
      <c r="AH11" s="62"/>
    </row>
    <row r="12" spans="1:34" x14ac:dyDescent="0.25">
      <c r="A12" s="54">
        <f>IF(C12=0,0,MAX($A$8:A11)+1)</f>
        <v>5</v>
      </c>
      <c r="B12" s="55">
        <f>NSTonghop!E12</f>
        <v>0</v>
      </c>
      <c r="C12" s="55" t="str">
        <f>NSTonghop!F12</f>
        <v>Nguyễn Thị Định</v>
      </c>
      <c r="D12" s="56">
        <v>16135</v>
      </c>
      <c r="E12" s="57">
        <v>1</v>
      </c>
      <c r="F12" s="57">
        <v>1.86</v>
      </c>
      <c r="G12" s="694" t="str">
        <f>NSTonghop!AL12</f>
        <v>01/09/2008</v>
      </c>
      <c r="H12" s="56" t="s">
        <v>1375</v>
      </c>
      <c r="I12" s="57">
        <v>6</v>
      </c>
      <c r="J12" s="59">
        <v>2.86</v>
      </c>
      <c r="K12" s="80" t="s">
        <v>1376</v>
      </c>
      <c r="L12" s="80" t="s">
        <v>362</v>
      </c>
      <c r="M12" s="57">
        <v>2018</v>
      </c>
      <c r="N12" s="689" t="str">
        <f>NSTonghop!AG12</f>
        <v>V.08.03.07</v>
      </c>
      <c r="O12" s="58" t="s">
        <v>347</v>
      </c>
      <c r="P12" s="57">
        <v>6</v>
      </c>
      <c r="Q12" s="60">
        <v>2.86</v>
      </c>
      <c r="R12" s="51" t="str">
        <f>IF(OR($R$6-$M12=2,$R$6-$M12=4,$R$6-$M12=6,$R$6-$M12=8,$R$6-$M12=10,$R$6-$M12=12,$R$6-$M12=14,$R$6-$M12=16),$L12,"")</f>
        <v/>
      </c>
      <c r="S12" s="52" t="str">
        <f>IF($R12="","",IF(AND($R$6-$M12=2,$O12="B"),$Q12+0.2,$Q12+0.18))</f>
        <v/>
      </c>
      <c r="T12" s="51" t="str">
        <f>IF(OR($T$6-$M12=2,$T$6-$M12=4,$T$6-$M12=6,$T$6-$M12=8,$T$6-$M12=10,$T$6-$M12=12,$T$6-$M12=14,$T$6-$M12=16),$L12,"")</f>
        <v/>
      </c>
      <c r="U12" s="52" t="str">
        <f>IF($T12="","",IF(AND($T$6-$M12=2,$O12="B"),$Q12+0.2,$Q12+0.18))</f>
        <v/>
      </c>
      <c r="V12" s="51" t="str">
        <f>IF(OR($V$6-$M12=2,$V$6-$M12=4,$V$6-$M12=6,$V$6-$M12=8,$V$6-$M12=10,$V$6-$M12=12,$V$6-$M12=14,$V$6-$M12=16),$L12,"")</f>
        <v>1/9</v>
      </c>
      <c r="W12" s="52">
        <f t="shared" ref="W12:W14" si="16">IF($V12="","",(IF(AND($V$6-$M12=2,$O12="B"),$Q12+0.2,IF(AND($V$6-$M12=2,$O12="c"),$Q12+0.18,IF(AND($V$6-$M12=4,$O12="B"),$S12+0.2,$S12+0.18)))))</f>
        <v>3.04</v>
      </c>
      <c r="X12" s="51" t="str">
        <f t="shared" ref="X12:X14" si="17">IF(OR($X$6-$M12=2,$X$6-$M12=4,$X$6-$M12=6,$X$6-$M12=8,$X$6-$M12=10,$X$6-$M12=12,$X$6-$M12=14,$X$6-$M12=16),$L12,"")</f>
        <v/>
      </c>
      <c r="Y12" s="52" t="str">
        <f>IF($X12="","",IF(AND($X$6-$M12=4,$O12="B"),$U12+0.2,$U12+0.18))</f>
        <v/>
      </c>
      <c r="Z12" s="51" t="str">
        <f>IF(OR($Z$6-$M12=2,$Z$6-$M12=4,$Z$6-$M12=6,$Z$6-$M12=8,$Z$6-$M12=10,$Z$6-$M12=12,$Z$6-$M12=14,$Z$6-$M12=16),$L12,"")</f>
        <v>1/9</v>
      </c>
      <c r="AA12" s="52">
        <f t="shared" ref="AA12:AA14" si="18">IF($Z12="","",IF(AND(OR($Z$6-$M12=4,$Z$6-$M12=6),$O12="B"),$W12+0.2,$W12+0.18))</f>
        <v>3.22</v>
      </c>
      <c r="AB12" s="51" t="str">
        <f>IF(OR($AB$6-$M12=2,$AB$6-$M12=4,$AB$6-$M12=6,$AB$6-$M12=8,$AB$6-$M12=10,$AB$6-$M12=12,$AB$6-$M12=14,$AB$6-$M12=16),$L12,"")</f>
        <v/>
      </c>
      <c r="AC12" s="52" t="str">
        <f>IF($AB12="","",IF(AND($AB$6-$M12=6,$O12="B"),$Y12+0.2,$Y12+0.18))</f>
        <v/>
      </c>
      <c r="AD12" s="51" t="str">
        <f>IF(OR($AD$6-$M12=2,$AD$6-$M12=4,$AD$6-$M12=6,$AD$6-$M12=8,$AD$6-$M12=10,$AD$6-$M12=12,$AD$6-$M12=14,$AD$6-$M12=16),$L12,"")</f>
        <v>1/9</v>
      </c>
      <c r="AE12" s="52">
        <f t="shared" ref="AE12:AE14" si="19">IF($AD12="","",IF(AND(OR($AD$6-$M12=4,$AD$6-$M12=6,$AD$6-$M12=8),$O12="B"),$AA12+0.2,$AA12+0.18))</f>
        <v>3.4000000000000004</v>
      </c>
      <c r="AF12" s="51" t="str">
        <f>IF(OR($AF$6-$M12=2,$AF$6-$M12=4,$AF$6-$M12=6,$AF$6-$M12=8,$AF$6-$M12=10,$AF$6-$M12=12,$AF$6-$M12=14,$AF$6-$M12=16),$L12,"")</f>
        <v/>
      </c>
      <c r="AG12" s="52" t="str">
        <f>IF($AF12="","",IF(AND($AF$6-$M12=8,$O12="B"),$AC12+0.2,$AC12+0.18))</f>
        <v/>
      </c>
      <c r="AH12" s="62"/>
    </row>
    <row r="13" spans="1:34" x14ac:dyDescent="0.25">
      <c r="A13" s="54">
        <f>IF(C13=0,0,MAX($A$8:A12)+1)</f>
        <v>6</v>
      </c>
      <c r="B13" s="55" t="str">
        <f>NSTonghop!E13</f>
        <v>Nghỉ việc 12/18</v>
      </c>
      <c r="C13" s="55" t="str">
        <f>NSTonghop!F13</f>
        <v>Trương Ngọc Phương</v>
      </c>
      <c r="D13" s="56" t="s">
        <v>573</v>
      </c>
      <c r="E13" s="57" t="s">
        <v>573</v>
      </c>
      <c r="F13" s="57">
        <v>230</v>
      </c>
      <c r="G13" s="694" t="str">
        <f>NSTonghop!AL13</f>
        <v>01/12/1992</v>
      </c>
      <c r="H13" s="56">
        <v>1011</v>
      </c>
      <c r="I13" s="57">
        <v>3</v>
      </c>
      <c r="J13" s="59">
        <v>1.53</v>
      </c>
      <c r="K13" s="58">
        <v>35186</v>
      </c>
      <c r="L13" s="58" t="s">
        <v>348</v>
      </c>
      <c r="M13" s="57">
        <v>2013</v>
      </c>
      <c r="N13" s="689" t="str">
        <f>NSTonghop!AG13</f>
        <v>01.011</v>
      </c>
      <c r="O13" s="58" t="s">
        <v>347</v>
      </c>
      <c r="P13" s="57">
        <v>12</v>
      </c>
      <c r="Q13" s="60">
        <v>3.48</v>
      </c>
      <c r="R13" s="61" t="s">
        <v>348</v>
      </c>
      <c r="S13" s="52">
        <v>0.08</v>
      </c>
      <c r="T13" s="51" t="str">
        <f>IF(OR($T$6-$M13=2,$T$6-$M13=4,$T$6-$M13=6,$T$6-$M13=8,$T$6-$M13=10,$T$6-$M13=12,$T$6-$M13=14,$T$6-$M13=16),$L13,"")</f>
        <v>1/7</v>
      </c>
      <c r="U13" s="52"/>
      <c r="V13" s="51" t="str">
        <f>IF(OR($V$6-$M13=2,$V$6-$M13=4,$V$6-$M13=6,$V$6-$M13=8,$V$6-$M13=10,$V$6-$M13=12,$V$6-$M13=14,$V$6-$M13=16),$L13,"")</f>
        <v/>
      </c>
      <c r="W13" s="52" t="str">
        <f t="shared" si="16"/>
        <v/>
      </c>
      <c r="X13" s="51" t="str">
        <f t="shared" si="17"/>
        <v>1/7</v>
      </c>
      <c r="Y13" s="52"/>
      <c r="Z13" s="51" t="str">
        <f>IF(OR($Z$6-$M13=2,$Z$6-$M13=4,$Z$6-$M13=6,$Z$6-$M13=8,$Z$6-$M13=10,$Z$6-$M13=12,$Z$6-$M13=14,$Z$6-$M13=16),$L13,"")</f>
        <v/>
      </c>
      <c r="AA13" s="52" t="str">
        <f t="shared" si="18"/>
        <v/>
      </c>
      <c r="AB13" s="51" t="str">
        <f>IF(OR($AB$6-$M13=2,$AB$6-$M13=4,$AB$6-$M13=6,$AB$6-$M13=8,$AB$6-$M13=10,$AB$6-$M13=12,$AB$6-$M13=14,$AB$6-$M13=16),$L13,"")</f>
        <v>1/7</v>
      </c>
      <c r="AC13" s="52"/>
      <c r="AD13" s="51" t="str">
        <f>IF(OR($AD$6-$M13=2,$AD$6-$M13=4,$AD$6-$M13=6,$AD$6-$M13=8,$AD$6-$M13=10,$AD$6-$M13=12,$AD$6-$M13=14,$AD$6-$M13=16),$L13,"")</f>
        <v/>
      </c>
      <c r="AE13" s="52" t="str">
        <f t="shared" si="19"/>
        <v/>
      </c>
      <c r="AF13" s="51" t="str">
        <f>IF(OR($AF$6-$M13=2,$AF$6-$M13=4,$AF$6-$M13=6,$AF$6-$M13=8,$AF$6-$M13=10,$AF$6-$M13=12,$AF$6-$M13=14,$AF$6-$M13=16),$L13,"")</f>
        <v>1/7</v>
      </c>
      <c r="AG13" s="52"/>
      <c r="AH13" s="62"/>
    </row>
    <row r="14" spans="1:34" x14ac:dyDescent="0.25">
      <c r="A14" s="54">
        <f>IF(C14=0,0,MAX($A$8:A13)+1)</f>
        <v>7</v>
      </c>
      <c r="B14" s="55">
        <f>NSTonghop!E14</f>
        <v>0</v>
      </c>
      <c r="C14" s="55" t="str">
        <f>NSTonghop!F14</f>
        <v>Lê Văn Thắng</v>
      </c>
      <c r="D14" s="56">
        <v>1011</v>
      </c>
      <c r="E14" s="57">
        <v>1</v>
      </c>
      <c r="F14" s="57">
        <v>1.5</v>
      </c>
      <c r="G14" s="694" t="str">
        <f>NSTonghop!AL14</f>
        <v>01/11/2005</v>
      </c>
      <c r="H14" s="56">
        <v>1011</v>
      </c>
      <c r="I14" s="57">
        <v>1</v>
      </c>
      <c r="J14" s="59">
        <v>1.5</v>
      </c>
      <c r="K14" s="58">
        <v>38657</v>
      </c>
      <c r="L14" s="58" t="s">
        <v>375</v>
      </c>
      <c r="M14" s="57" t="s">
        <v>573</v>
      </c>
      <c r="N14" s="689" t="str">
        <f>NSTonghop!AG14</f>
        <v>01.011</v>
      </c>
      <c r="O14" s="58" t="s">
        <v>347</v>
      </c>
      <c r="P14" s="57" t="s">
        <v>573</v>
      </c>
      <c r="Q14" s="60" t="s">
        <v>573</v>
      </c>
      <c r="R14" s="51" t="e">
        <f>IF(OR($R$6-$M14=2,$R$6-$M14=4,$R$6-$M14=6,$R$6-$M14=8,$R$6-$M14=10,$R$6-$M14=12,$R$6-$M14=14,$R$6-$M14=16),$L14,"")</f>
        <v>#VALUE!</v>
      </c>
      <c r="S14" s="52" t="e">
        <f>IF($R14="","",IF(AND($R$6-$M14=2,$O14="B"),$Q14+0.2,$Q14+0.18))</f>
        <v>#VALUE!</v>
      </c>
      <c r="T14" s="51" t="e">
        <f>IF(OR($T$6-$M14=2,$T$6-$M14=4,$T$6-$M14=6,$T$6-$M14=8,$T$6-$M14=10,$T$6-$M14=12,$T$6-$M14=14,$T$6-$M14=16),$L14,"")</f>
        <v>#VALUE!</v>
      </c>
      <c r="U14" s="52" t="e">
        <f>IF($T14="","",IF(AND($T$6-$M14=2,$O14="B"),$Q14+0.2,$Q14+0.18))</f>
        <v>#VALUE!</v>
      </c>
      <c r="V14" s="51" t="e">
        <f>IF(OR($V$6-$M14=2,$V$6-$M14=4,$V$6-$M14=6,$V$6-$M14=8,$V$6-$M14=10,$V$6-$M14=12,$V$6-$M14=14,$V$6-$M14=16),$L14,"")</f>
        <v>#VALUE!</v>
      </c>
      <c r="W14" s="52" t="e">
        <f t="shared" si="16"/>
        <v>#VALUE!</v>
      </c>
      <c r="X14" s="51" t="e">
        <f t="shared" si="17"/>
        <v>#VALUE!</v>
      </c>
      <c r="Y14" s="52" t="e">
        <f>IF($X14="","",IF(AND($X$6-$M14=4,$O14="B"),$U14+0.2,$U14+0.18))</f>
        <v>#VALUE!</v>
      </c>
      <c r="Z14" s="51" t="e">
        <f>IF(OR($Z$6-$M14=2,$Z$6-$M14=4,$Z$6-$M14=6,$Z$6-$M14=8,$Z$6-$M14=10,$Z$6-$M14=12,$Z$6-$M14=14,$Z$6-$M14=16),$L14,"")</f>
        <v>#VALUE!</v>
      </c>
      <c r="AA14" s="52" t="e">
        <f t="shared" si="18"/>
        <v>#VALUE!</v>
      </c>
      <c r="AB14" s="51" t="e">
        <f>IF(OR($AB$6-$M14=2,$AB$6-$M14=4,$AB$6-$M14=6,$AB$6-$M14=8,$AB$6-$M14=10,$AB$6-$M14=12,$AB$6-$M14=14,$AB$6-$M14=16),$L14,"")</f>
        <v>#VALUE!</v>
      </c>
      <c r="AC14" s="52" t="e">
        <f>IF($AB14="","",IF(AND($AB$6-$M14=6,$O14="B"),$Y14+0.2,$Y14+0.18))</f>
        <v>#VALUE!</v>
      </c>
      <c r="AD14" s="51" t="e">
        <f>IF(OR($AD$6-$M14=2,$AD$6-$M14=4,$AD$6-$M14=6,$AD$6-$M14=8,$AD$6-$M14=10,$AD$6-$M14=12,$AD$6-$M14=14,$AD$6-$M14=16),$L14,"")</f>
        <v>#VALUE!</v>
      </c>
      <c r="AE14" s="52" t="e">
        <f t="shared" si="19"/>
        <v>#VALUE!</v>
      </c>
      <c r="AF14" s="51" t="e">
        <f>IF(OR($AF$6-$M14=2,$AF$6-$M14=4,$AF$6-$M14=6,$AF$6-$M14=8,$AF$6-$M14=10,$AF$6-$M14=12,$AF$6-$M14=14,$AF$6-$M14=16),$L14,"")</f>
        <v>#VALUE!</v>
      </c>
      <c r="AG14" s="52" t="e">
        <f>IF($AF14="","",IF(AND($AF$6-$M14=8,$O14="B"),$AC14+0.2,$AC14+0.18))</f>
        <v>#VALUE!</v>
      </c>
      <c r="AH14" s="62"/>
    </row>
    <row r="15" spans="1:34" x14ac:dyDescent="0.25">
      <c r="A15" s="54">
        <f>IF(C15=0,0,MAX($A$8:A14)+1)</f>
        <v>8</v>
      </c>
      <c r="B15" s="55">
        <f>NSTonghop!E15</f>
        <v>0</v>
      </c>
      <c r="C15" s="55" t="str">
        <f>NSTonghop!F15</f>
        <v>Nguyễn Thanh Hùng</v>
      </c>
      <c r="D15" s="56" t="s">
        <v>573</v>
      </c>
      <c r="E15" s="57" t="s">
        <v>573</v>
      </c>
      <c r="F15" s="57">
        <v>272</v>
      </c>
      <c r="G15" s="694" t="str">
        <f>NSTonghop!AL15</f>
        <v>10/09/1987</v>
      </c>
      <c r="H15" s="56" t="s">
        <v>366</v>
      </c>
      <c r="I15" s="57">
        <v>9</v>
      </c>
      <c r="J15" s="59">
        <v>4.9800000000000004</v>
      </c>
      <c r="K15" s="58">
        <v>38353</v>
      </c>
      <c r="L15" s="58" t="s">
        <v>375</v>
      </c>
      <c r="M15" s="57">
        <v>2004</v>
      </c>
      <c r="N15" s="689" t="str">
        <f>NSTonghop!AG15</f>
        <v>V.07.04.11</v>
      </c>
      <c r="O15" s="58" t="s">
        <v>363</v>
      </c>
      <c r="P15" s="57">
        <v>9</v>
      </c>
      <c r="Q15" s="60">
        <v>4.9800000000000004</v>
      </c>
      <c r="R15" s="77" t="str">
        <f t="shared" ref="R15:R80" si="20">IF(OR($R$6-$M15=3,$R$6-$M15=6,$R$6-$M15=9,$R$6-$M15=12,$R$6-$M15=15,$R$6-$M15=18,$R$6-$M15=21,$R$6-$M15=24),$L15,"")</f>
        <v/>
      </c>
      <c r="S15" s="78">
        <v>0.16</v>
      </c>
      <c r="T15" s="408"/>
      <c r="U15" s="407"/>
      <c r="V15" s="408"/>
      <c r="W15" s="407"/>
      <c r="X15" s="408"/>
      <c r="Y15" s="407"/>
      <c r="Z15" s="408"/>
      <c r="AA15" s="407"/>
      <c r="AB15" s="408"/>
      <c r="AC15" s="407"/>
      <c r="AD15" s="408"/>
      <c r="AE15" s="407"/>
      <c r="AF15" s="408"/>
      <c r="AG15" s="407"/>
      <c r="AH15" s="63"/>
    </row>
    <row r="16" spans="1:34" x14ac:dyDescent="0.25">
      <c r="A16" s="54">
        <f>IF(C16=0,0,MAX($A$8:A15)+1)</f>
        <v>9</v>
      </c>
      <c r="B16" s="55">
        <f>NSTonghop!E16</f>
        <v>0</v>
      </c>
      <c r="C16" s="55" t="str">
        <f>NSTonghop!F16</f>
        <v>Võ Minh Triết</v>
      </c>
      <c r="D16" s="56" t="s">
        <v>573</v>
      </c>
      <c r="E16" s="57" t="s">
        <v>573</v>
      </c>
      <c r="F16" s="57">
        <v>272</v>
      </c>
      <c r="G16" s="694" t="str">
        <f>NSTonghop!AL16</f>
        <v>05/09/1988</v>
      </c>
      <c r="H16" s="56" t="s">
        <v>366</v>
      </c>
      <c r="I16" s="57">
        <v>5</v>
      </c>
      <c r="J16" s="59">
        <v>3.66</v>
      </c>
      <c r="K16" s="58">
        <v>38626</v>
      </c>
      <c r="L16" s="58" t="s">
        <v>378</v>
      </c>
      <c r="M16" s="57">
        <v>2013</v>
      </c>
      <c r="N16" s="689" t="str">
        <f>NSTonghop!AG16</f>
        <v>V.07.04.11</v>
      </c>
      <c r="O16" s="58" t="s">
        <v>363</v>
      </c>
      <c r="P16" s="57">
        <v>9</v>
      </c>
      <c r="Q16" s="60">
        <v>4.9800000000000004</v>
      </c>
      <c r="R16" s="77" t="str">
        <f t="shared" si="20"/>
        <v/>
      </c>
      <c r="S16" s="78">
        <v>7.0000000000000007E-2</v>
      </c>
      <c r="T16" s="408"/>
      <c r="U16" s="407"/>
      <c r="V16" s="408"/>
      <c r="W16" s="407"/>
      <c r="X16" s="408"/>
      <c r="Y16" s="407"/>
      <c r="Z16" s="408"/>
      <c r="AA16" s="407"/>
      <c r="AB16" s="408"/>
      <c r="AC16" s="407"/>
      <c r="AD16" s="408"/>
      <c r="AE16" s="407"/>
      <c r="AF16" s="408"/>
      <c r="AG16" s="407"/>
      <c r="AH16" s="63"/>
    </row>
    <row r="17" spans="1:34" x14ac:dyDescent="0.25">
      <c r="A17" s="54">
        <f>IF(C17=0,0,MAX($A$8:A16)+1)</f>
        <v>10</v>
      </c>
      <c r="B17" s="55">
        <f>NSTonghop!E17</f>
        <v>0</v>
      </c>
      <c r="C17" s="55" t="str">
        <f>NSTonghop!F17</f>
        <v>Dương Thanh Phong</v>
      </c>
      <c r="D17" s="56">
        <v>15113</v>
      </c>
      <c r="E17" s="57">
        <v>1</v>
      </c>
      <c r="F17" s="57">
        <v>1.78</v>
      </c>
      <c r="G17" s="694" t="str">
        <f>NSTonghop!AL17</f>
        <v>01/09/1997</v>
      </c>
      <c r="H17" s="56" t="s">
        <v>379</v>
      </c>
      <c r="I17" s="57">
        <v>2</v>
      </c>
      <c r="J17" s="59">
        <v>2.41</v>
      </c>
      <c r="K17" s="58">
        <v>38626</v>
      </c>
      <c r="L17" s="80" t="s">
        <v>1327</v>
      </c>
      <c r="M17" s="57">
        <v>2018</v>
      </c>
      <c r="N17" s="691" t="str">
        <f>NSTonghop!AG17</f>
        <v>V.07.04.12</v>
      </c>
      <c r="O17" s="74" t="s">
        <v>575</v>
      </c>
      <c r="P17" s="57">
        <v>8</v>
      </c>
      <c r="Q17" s="60">
        <v>4.2699999999999996</v>
      </c>
      <c r="R17" s="51" t="str">
        <f t="shared" si="20"/>
        <v/>
      </c>
      <c r="S17" s="52" t="str">
        <f t="shared" ref="S17:S80" si="21">IF($R17="","",IF(AND($R$6-$M17=3,$O17="a1"),$Q17+0.33,$Q17+0.31))</f>
        <v/>
      </c>
      <c r="T17" s="51" t="str">
        <f t="shared" ref="T17:T79" si="22">IF(OR($T$6-$M17=3,$T$6-$M17=6,$T$6-$M17=9,$T$6-$M17=12,$T$6-$M17=15,$T$6-$M17=18,$T$6-$M17=21,$T$6-$M17=24),$L17,"")</f>
        <v/>
      </c>
      <c r="U17" s="52" t="str">
        <f t="shared" ref="U17:U79" si="23">IF($T17="","",IF(AND($T$6-$M17=3,$O17="a1"),$Q17+0.33,$Q17+0.31))</f>
        <v/>
      </c>
      <c r="V17" s="51" t="str">
        <f t="shared" ref="V17:V79" si="24">IF(OR($V$6-$M17=3,$V$6-$M17=6,$V$6-$M17=9,$V$6-$M17=12,$V$6-$M17=15,$V$6-$M17=18,$V$6-$M17=21,$V$6-$M17=24),$L17,"")</f>
        <v/>
      </c>
      <c r="W17" s="52" t="str">
        <f t="shared" ref="W17:W79" si="25">IF($V17="","",(IF(AND($V$6-$M17=3,$O17="a1"),$Q17+0.33,IF(AND($V$6-$M17=3,$O17="a2"),$Q17+0.31,IF(AND($V$6-$M17=6,$O17="a1"),$Q17+0.33,$Q17+0.31)))))</f>
        <v/>
      </c>
      <c r="X17" s="51" t="str">
        <f t="shared" ref="X17:X79" si="26">IF(OR($X$6-$M17=3,$X$6-$M17=6,$X$6-$M17=9,$X$6-$M17=12,$X$6-$M17=15,$X$6-$M17=18,$X$6-$M17=21,$X$6-$M17=24),$L17,"")</f>
        <v>01/04</v>
      </c>
      <c r="Y17" s="52">
        <f t="shared" ref="Y17:Y79" si="27">IF($X17="","",IF(AND($X$6-$M17=3,$O17="a1",$O17="a1"),$Q17+0.33,IF(AND($X$6-$M17=3,$O17="a2"),$Q17+0.31,IF(AND($X$6-$M17=6,$O17="a1"),$S17+0.33,$S17+0.31))))</f>
        <v>4.5799999999999992</v>
      </c>
      <c r="Z17" s="51" t="str">
        <f t="shared" ref="Z17:Z79" si="28">IF(OR($Z$6-$M17=3,$Z$6-$M17=6,$Z$6-$M17=9,$Z$6-$M17=12,$Z$6-$M17=15,$Z$6-$M17=18,$Z$6-$M17=21,$Z$6-$M17=24),$L17,"")</f>
        <v/>
      </c>
      <c r="AA17" s="52" t="str">
        <f t="shared" ref="AA17:AA79" si="29">IF($Z17="","",IF(AND(OR($Z$6-$M17=3,$Z$6-$M17=6),$O17="a1"),$U17+0.33,$U17+0.31))</f>
        <v/>
      </c>
      <c r="AB17" s="51" t="str">
        <f t="shared" ref="AB17:AB79" si="30">IF(OR($AB$6-$M17=3,$AB$6-$M17=6,$AB$6-$M17=9,$AB$6-$M17=12,$AB$6-$M17=15,$AB$6-$M17=18,$AB$6-$M17=21,$AB$6-$M17=24),$L17,"")</f>
        <v/>
      </c>
      <c r="AC17" s="52" t="str">
        <f t="shared" ref="AC17:AC79" si="31">IF($AB17="","",IF(AND(OR($AB$6-$M17=9,$AB$6-$M17=6),$O17="a1"),$W17+0.33,$W17+0.31))</f>
        <v/>
      </c>
      <c r="AD17" s="51" t="str">
        <f t="shared" ref="AD17:AD79" si="32">IF(OR($AD$6-$M17=3,$AD$6-$M17=6,$AD$6-$M17=9,$AD$6-$M17=12,$AD$6-$M17=15,$AD$6-$M17=18,$AD$6-$M17=21,$AD$6-$M17=24),$L17,"")</f>
        <v>01/04</v>
      </c>
      <c r="AE17" s="52">
        <f t="shared" ref="AE17:AE79" si="33">IF($AD17="","",IF(AND(OR($AD$6-$M17=3,$AD$6-$M17=6,$AD$6-$M17=9),$O17="a1"),$Y17+0.33,$Y17+0.31))</f>
        <v>4.8899999999999988</v>
      </c>
      <c r="AF17" s="51" t="str">
        <f t="shared" ref="AF17:AF79" si="34">IF(OR($AF$6-$M17=3,$AF$6-$M17=6,$AF$6-$M17=9,$AF$6-$M17=12,$AF$6-$M17=15,$AF$6-$M17=18,$AF$6-$M17=21,$AF$6-$M17=24),$L17,"")</f>
        <v/>
      </c>
      <c r="AG17" s="52" t="str">
        <f t="shared" ref="AG17:AG79" si="35">IF($AF17="","",IF(AND($AF$6-$M17=9,$O17="a1"),$AA17+0.33,$AA17+0.31))</f>
        <v/>
      </c>
      <c r="AH17" s="63"/>
    </row>
    <row r="18" spans="1:34" x14ac:dyDescent="0.25">
      <c r="A18" s="54">
        <f>IF(C18=0,0,MAX($A$8:A17)+1)</f>
        <v>11</v>
      </c>
      <c r="B18" s="55">
        <f>NSTonghop!E18</f>
        <v>0</v>
      </c>
      <c r="C18" s="55" t="str">
        <f>NSTonghop!F18</f>
        <v>Nguyễn Thái Bình</v>
      </c>
      <c r="D18" s="56">
        <v>15113</v>
      </c>
      <c r="E18" s="57">
        <v>1</v>
      </c>
      <c r="F18" s="57">
        <v>1.78</v>
      </c>
      <c r="G18" s="694" t="str">
        <f>NSTonghop!AL18</f>
        <v>01/09/2001</v>
      </c>
      <c r="H18" s="56" t="s">
        <v>366</v>
      </c>
      <c r="I18" s="57">
        <v>3</v>
      </c>
      <c r="J18" s="59">
        <v>3</v>
      </c>
      <c r="K18" s="58">
        <v>39569</v>
      </c>
      <c r="L18" s="80" t="s">
        <v>401</v>
      </c>
      <c r="M18" s="409">
        <v>2018</v>
      </c>
      <c r="N18" s="689" t="str">
        <f>NSTonghop!AG18</f>
        <v>V.07.04.11</v>
      </c>
      <c r="O18" s="58" t="s">
        <v>363</v>
      </c>
      <c r="P18" s="57">
        <v>7</v>
      </c>
      <c r="Q18" s="60">
        <v>4.32</v>
      </c>
      <c r="R18" s="51" t="str">
        <f t="shared" si="20"/>
        <v/>
      </c>
      <c r="S18" s="52" t="str">
        <f t="shared" si="21"/>
        <v/>
      </c>
      <c r="T18" s="51" t="str">
        <f t="shared" si="22"/>
        <v/>
      </c>
      <c r="U18" s="52" t="str">
        <f t="shared" si="23"/>
        <v/>
      </c>
      <c r="V18" s="51" t="str">
        <f t="shared" si="24"/>
        <v/>
      </c>
      <c r="W18" s="52" t="str">
        <f t="shared" si="25"/>
        <v/>
      </c>
      <c r="X18" s="51" t="str">
        <f t="shared" si="26"/>
        <v>1/6</v>
      </c>
      <c r="Y18" s="52">
        <f t="shared" si="27"/>
        <v>4.6500000000000004</v>
      </c>
      <c r="Z18" s="51" t="str">
        <f t="shared" si="28"/>
        <v/>
      </c>
      <c r="AA18" s="52" t="str">
        <f t="shared" si="29"/>
        <v/>
      </c>
      <c r="AB18" s="51" t="str">
        <f t="shared" si="30"/>
        <v/>
      </c>
      <c r="AC18" s="52" t="str">
        <f t="shared" si="31"/>
        <v/>
      </c>
      <c r="AD18" s="51" t="str">
        <f t="shared" si="32"/>
        <v>1/6</v>
      </c>
      <c r="AE18" s="52">
        <f t="shared" si="33"/>
        <v>4.9800000000000004</v>
      </c>
      <c r="AF18" s="51" t="str">
        <f t="shared" si="34"/>
        <v/>
      </c>
      <c r="AG18" s="52" t="str">
        <f t="shared" si="35"/>
        <v/>
      </c>
      <c r="AH18" s="63"/>
    </row>
    <row r="19" spans="1:34" x14ac:dyDescent="0.25">
      <c r="A19" s="54">
        <f>IF(C19=0,0,MAX($A$8:A18)+1)</f>
        <v>12</v>
      </c>
      <c r="B19" s="55">
        <f>NSTonghop!E19</f>
        <v>0</v>
      </c>
      <c r="C19" s="55" t="str">
        <f>NSTonghop!F19</f>
        <v>Bùi Thông Thái</v>
      </c>
      <c r="D19" s="56" t="s">
        <v>573</v>
      </c>
      <c r="E19" s="57" t="s">
        <v>573</v>
      </c>
      <c r="F19" s="57">
        <v>49.5</v>
      </c>
      <c r="G19" s="694" t="str">
        <f>NSTonghop!AL19</f>
        <v>09/09/1985</v>
      </c>
      <c r="H19" s="56" t="s">
        <v>366</v>
      </c>
      <c r="I19" s="57">
        <v>6</v>
      </c>
      <c r="J19" s="59">
        <v>3.99</v>
      </c>
      <c r="K19" s="58">
        <v>38626</v>
      </c>
      <c r="L19" s="58" t="s">
        <v>354</v>
      </c>
      <c r="M19" s="57">
        <v>2013</v>
      </c>
      <c r="N19" s="689" t="str">
        <f>NSTonghop!AG19</f>
        <v>V.07.04.11</v>
      </c>
      <c r="O19" s="58" t="s">
        <v>363</v>
      </c>
      <c r="P19" s="57">
        <v>9</v>
      </c>
      <c r="Q19" s="60">
        <v>4.9800000000000004</v>
      </c>
      <c r="R19" s="74" t="s">
        <v>354</v>
      </c>
      <c r="S19" s="78">
        <v>7.0000000000000007E-2</v>
      </c>
      <c r="T19" s="408"/>
      <c r="U19" s="407"/>
      <c r="V19" s="408"/>
      <c r="W19" s="407"/>
      <c r="X19" s="408"/>
      <c r="Y19" s="407"/>
      <c r="Z19" s="408"/>
      <c r="AA19" s="407"/>
      <c r="AB19" s="408"/>
      <c r="AC19" s="407"/>
      <c r="AD19" s="408"/>
      <c r="AE19" s="407"/>
      <c r="AF19" s="408"/>
      <c r="AG19" s="407"/>
      <c r="AH19" s="63"/>
    </row>
    <row r="20" spans="1:34" x14ac:dyDescent="0.25">
      <c r="A20" s="54">
        <f>IF(C20=0,0,MAX($A$8:A19)+1)</f>
        <v>13</v>
      </c>
      <c r="B20" s="55">
        <f>NSTonghop!E20</f>
        <v>0</v>
      </c>
      <c r="C20" s="55" t="str">
        <f>NSTonghop!F20</f>
        <v>Đỗ Viết Hùng</v>
      </c>
      <c r="D20" s="56">
        <v>15113</v>
      </c>
      <c r="E20" s="57">
        <v>1</v>
      </c>
      <c r="F20" s="57">
        <v>1.78</v>
      </c>
      <c r="G20" s="694" t="str">
        <f>NSTonghop!AL20</f>
        <v>01/09/1998</v>
      </c>
      <c r="H20" s="56" t="s">
        <v>366</v>
      </c>
      <c r="I20" s="57">
        <v>2</v>
      </c>
      <c r="J20" s="59">
        <v>2.67</v>
      </c>
      <c r="K20" s="80" t="s">
        <v>767</v>
      </c>
      <c r="L20" s="80" t="s">
        <v>1183</v>
      </c>
      <c r="M20" s="57">
        <v>2016</v>
      </c>
      <c r="N20" s="689" t="str">
        <f>NSTonghop!AG20</f>
        <v>V.07.04.11</v>
      </c>
      <c r="O20" s="58" t="s">
        <v>363</v>
      </c>
      <c r="P20" s="57">
        <v>7</v>
      </c>
      <c r="Q20" s="60">
        <v>4.32</v>
      </c>
      <c r="R20" s="51" t="str">
        <f t="shared" si="20"/>
        <v/>
      </c>
      <c r="S20" s="52" t="str">
        <f t="shared" si="21"/>
        <v/>
      </c>
      <c r="T20" s="51" t="str">
        <f t="shared" si="22"/>
        <v>01/3</v>
      </c>
      <c r="U20" s="52">
        <f t="shared" si="23"/>
        <v>4.6500000000000004</v>
      </c>
      <c r="V20" s="51" t="str">
        <f t="shared" si="24"/>
        <v/>
      </c>
      <c r="W20" s="52" t="str">
        <f t="shared" si="25"/>
        <v/>
      </c>
      <c r="X20" s="51" t="str">
        <f t="shared" si="26"/>
        <v/>
      </c>
      <c r="Y20" s="52" t="str">
        <f t="shared" si="27"/>
        <v/>
      </c>
      <c r="Z20" s="51" t="str">
        <f t="shared" si="28"/>
        <v>01/3</v>
      </c>
      <c r="AA20" s="52">
        <f t="shared" si="29"/>
        <v>4.9800000000000004</v>
      </c>
      <c r="AB20" s="51" t="str">
        <f t="shared" si="30"/>
        <v/>
      </c>
      <c r="AC20" s="52" t="str">
        <f t="shared" si="31"/>
        <v/>
      </c>
      <c r="AD20" s="51" t="str">
        <f t="shared" si="32"/>
        <v/>
      </c>
      <c r="AE20" s="52" t="str">
        <f t="shared" si="33"/>
        <v/>
      </c>
      <c r="AF20" s="51" t="str">
        <f t="shared" si="34"/>
        <v>01/3</v>
      </c>
      <c r="AG20" s="52">
        <f t="shared" si="35"/>
        <v>5.3100000000000005</v>
      </c>
      <c r="AH20" s="62"/>
    </row>
    <row r="21" spans="1:34" x14ac:dyDescent="0.25">
      <c r="A21" s="54">
        <f>IF(C21=0,0,MAX($A$8:A20)+1)</f>
        <v>14</v>
      </c>
      <c r="B21" s="55">
        <f>NSTonghop!E21</f>
        <v>0</v>
      </c>
      <c r="C21" s="55" t="str">
        <f>NSTonghop!F21</f>
        <v>Phạm Thị Thanh Loan</v>
      </c>
      <c r="D21" s="56"/>
      <c r="E21" s="57"/>
      <c r="F21" s="57"/>
      <c r="G21" s="694" t="str">
        <f>NSTonghop!AL21</f>
        <v>01/09/2005</v>
      </c>
      <c r="H21" s="56"/>
      <c r="I21" s="57"/>
      <c r="J21" s="59"/>
      <c r="K21" s="58"/>
      <c r="L21" s="80" t="s">
        <v>1184</v>
      </c>
      <c r="M21" s="409">
        <v>2017</v>
      </c>
      <c r="N21" s="689" t="str">
        <f>NSTonghop!AG21</f>
        <v>V.07.04.11</v>
      </c>
      <c r="O21" s="58" t="s">
        <v>363</v>
      </c>
      <c r="P21" s="57">
        <v>5</v>
      </c>
      <c r="Q21" s="60">
        <v>3.66</v>
      </c>
      <c r="R21" s="51" t="str">
        <f t="shared" si="20"/>
        <v/>
      </c>
      <c r="S21" s="52" t="str">
        <f t="shared" si="21"/>
        <v/>
      </c>
      <c r="T21" s="51" t="str">
        <f t="shared" si="22"/>
        <v/>
      </c>
      <c r="U21" s="52" t="str">
        <f t="shared" si="23"/>
        <v/>
      </c>
      <c r="V21" s="51" t="str">
        <f t="shared" si="24"/>
        <v>01/12</v>
      </c>
      <c r="W21" s="52">
        <f t="shared" si="25"/>
        <v>3.99</v>
      </c>
      <c r="X21" s="51" t="str">
        <f t="shared" si="26"/>
        <v/>
      </c>
      <c r="Y21" s="52" t="str">
        <f t="shared" si="27"/>
        <v/>
      </c>
      <c r="Z21" s="51" t="str">
        <f t="shared" si="28"/>
        <v/>
      </c>
      <c r="AA21" s="52" t="str">
        <f t="shared" si="29"/>
        <v/>
      </c>
      <c r="AB21" s="51" t="str">
        <f t="shared" si="30"/>
        <v>01/12</v>
      </c>
      <c r="AC21" s="52">
        <f t="shared" si="31"/>
        <v>4.32</v>
      </c>
      <c r="AD21" s="51" t="str">
        <f t="shared" si="32"/>
        <v/>
      </c>
      <c r="AE21" s="52" t="str">
        <f t="shared" si="33"/>
        <v/>
      </c>
      <c r="AF21" s="51" t="str">
        <f t="shared" si="34"/>
        <v/>
      </c>
      <c r="AG21" s="52" t="str">
        <f t="shared" si="35"/>
        <v/>
      </c>
      <c r="AH21" s="62"/>
    </row>
    <row r="22" spans="1:34" x14ac:dyDescent="0.25">
      <c r="A22" s="54">
        <f>IF(C22=0,0,MAX($A$8:A21)+1)</f>
        <v>15</v>
      </c>
      <c r="B22" s="55">
        <f>NSTonghop!E22</f>
        <v>0</v>
      </c>
      <c r="C22" s="55" t="str">
        <f>NSTonghop!F22</f>
        <v>Huỳnh Thanh Sơn</v>
      </c>
      <c r="D22" s="56" t="s">
        <v>366</v>
      </c>
      <c r="E22" s="57">
        <v>1</v>
      </c>
      <c r="F22" s="57">
        <v>2.34</v>
      </c>
      <c r="G22" s="694" t="str">
        <f>NSTonghop!AL22</f>
        <v>01/09/2005</v>
      </c>
      <c r="H22" s="56" t="s">
        <v>366</v>
      </c>
      <c r="I22" s="57">
        <v>1</v>
      </c>
      <c r="J22" s="59">
        <v>2.34</v>
      </c>
      <c r="K22" s="80" t="s">
        <v>1337</v>
      </c>
      <c r="L22" s="80" t="s">
        <v>1184</v>
      </c>
      <c r="M22" s="57">
        <v>2017</v>
      </c>
      <c r="N22" s="689" t="str">
        <f>NSTonghop!AG22</f>
        <v>V.07.04.11</v>
      </c>
      <c r="O22" s="58" t="s">
        <v>363</v>
      </c>
      <c r="P22" s="57">
        <v>5</v>
      </c>
      <c r="Q22" s="60">
        <v>3.66</v>
      </c>
      <c r="R22" s="51" t="str">
        <f t="shared" si="20"/>
        <v/>
      </c>
      <c r="S22" s="52" t="str">
        <f t="shared" si="21"/>
        <v/>
      </c>
      <c r="T22" s="51" t="str">
        <f t="shared" si="22"/>
        <v/>
      </c>
      <c r="U22" s="52" t="str">
        <f t="shared" si="23"/>
        <v/>
      </c>
      <c r="V22" s="51" t="str">
        <f t="shared" si="24"/>
        <v>01/12</v>
      </c>
      <c r="W22" s="52">
        <f t="shared" si="25"/>
        <v>3.99</v>
      </c>
      <c r="X22" s="51" t="str">
        <f t="shared" si="26"/>
        <v/>
      </c>
      <c r="Y22" s="52" t="str">
        <f t="shared" si="27"/>
        <v/>
      </c>
      <c r="Z22" s="51" t="str">
        <f t="shared" si="28"/>
        <v/>
      </c>
      <c r="AA22" s="52" t="str">
        <f t="shared" si="29"/>
        <v/>
      </c>
      <c r="AB22" s="51" t="str">
        <f t="shared" si="30"/>
        <v>01/12</v>
      </c>
      <c r="AC22" s="52">
        <f t="shared" si="31"/>
        <v>4.32</v>
      </c>
      <c r="AD22" s="51" t="str">
        <f t="shared" si="32"/>
        <v/>
      </c>
      <c r="AE22" s="52" t="str">
        <f t="shared" si="33"/>
        <v/>
      </c>
      <c r="AF22" s="51" t="str">
        <f t="shared" si="34"/>
        <v/>
      </c>
      <c r="AG22" s="52" t="str">
        <f t="shared" si="35"/>
        <v/>
      </c>
      <c r="AH22" s="62"/>
    </row>
    <row r="23" spans="1:34" x14ac:dyDescent="0.25">
      <c r="A23" s="54">
        <f>IF(C23=0,0,MAX($A$8:A22)+1)</f>
        <v>16</v>
      </c>
      <c r="B23" s="55">
        <f>NSTonghop!E23</f>
        <v>0</v>
      </c>
      <c r="C23" s="55" t="str">
        <f>NSTonghop!F23</f>
        <v>Nguyễn Thị Phương</v>
      </c>
      <c r="D23" s="56" t="s">
        <v>379</v>
      </c>
      <c r="E23" s="57">
        <v>1</v>
      </c>
      <c r="F23" s="57">
        <v>2.1</v>
      </c>
      <c r="G23" s="694" t="str">
        <f>NSTonghop!AL23</f>
        <v>01/09/2006</v>
      </c>
      <c r="H23" s="56" t="s">
        <v>366</v>
      </c>
      <c r="I23" s="57">
        <v>2</v>
      </c>
      <c r="J23" s="59">
        <v>2.67</v>
      </c>
      <c r="K23" s="80" t="s">
        <v>1407</v>
      </c>
      <c r="L23" s="80" t="s">
        <v>1182</v>
      </c>
      <c r="M23" s="57">
        <v>2016</v>
      </c>
      <c r="N23" s="689" t="str">
        <f>NSTonghop!AG23</f>
        <v>V.07.04.11</v>
      </c>
      <c r="O23" s="58" t="s">
        <v>363</v>
      </c>
      <c r="P23" s="57">
        <v>4</v>
      </c>
      <c r="Q23" s="60">
        <v>3.33</v>
      </c>
      <c r="R23" s="51" t="str">
        <f t="shared" si="20"/>
        <v/>
      </c>
      <c r="S23" s="52" t="str">
        <f t="shared" si="21"/>
        <v/>
      </c>
      <c r="T23" s="51" t="str">
        <f t="shared" si="22"/>
        <v>01/9</v>
      </c>
      <c r="U23" s="52">
        <f t="shared" si="23"/>
        <v>3.66</v>
      </c>
      <c r="V23" s="51" t="str">
        <f t="shared" si="24"/>
        <v/>
      </c>
      <c r="W23" s="52" t="str">
        <f t="shared" si="25"/>
        <v/>
      </c>
      <c r="X23" s="51" t="str">
        <f t="shared" si="26"/>
        <v/>
      </c>
      <c r="Y23" s="52" t="str">
        <f t="shared" si="27"/>
        <v/>
      </c>
      <c r="Z23" s="51" t="str">
        <f t="shared" si="28"/>
        <v>01/9</v>
      </c>
      <c r="AA23" s="52">
        <f t="shared" si="29"/>
        <v>3.99</v>
      </c>
      <c r="AB23" s="51" t="str">
        <f t="shared" si="30"/>
        <v/>
      </c>
      <c r="AC23" s="52" t="str">
        <f t="shared" si="31"/>
        <v/>
      </c>
      <c r="AD23" s="51" t="str">
        <f t="shared" si="32"/>
        <v/>
      </c>
      <c r="AE23" s="52" t="str">
        <f t="shared" si="33"/>
        <v/>
      </c>
      <c r="AF23" s="51" t="str">
        <f t="shared" si="34"/>
        <v>01/9</v>
      </c>
      <c r="AG23" s="52">
        <f t="shared" si="35"/>
        <v>4.32</v>
      </c>
      <c r="AH23" s="62"/>
    </row>
    <row r="24" spans="1:34" x14ac:dyDescent="0.25">
      <c r="A24" s="54">
        <f>IF(C24=0,0,MAX($A$8:A23)+1)</f>
        <v>17</v>
      </c>
      <c r="B24" s="55">
        <f>NSTonghop!E24</f>
        <v>0</v>
      </c>
      <c r="C24" s="55" t="str">
        <f>NSTonghop!F24</f>
        <v>Thiều Thị Kim Tuyến</v>
      </c>
      <c r="D24" s="56">
        <v>15113</v>
      </c>
      <c r="E24" s="57">
        <v>1</v>
      </c>
      <c r="F24" s="57">
        <v>1.78</v>
      </c>
      <c r="G24" s="694" t="str">
        <f>NSTonghop!AL24</f>
        <v>01/09/2004</v>
      </c>
      <c r="H24" s="56" t="s">
        <v>366</v>
      </c>
      <c r="I24" s="57">
        <v>2</v>
      </c>
      <c r="J24" s="59">
        <v>2.67</v>
      </c>
      <c r="K24" s="80" t="s">
        <v>1370</v>
      </c>
      <c r="L24" s="80" t="s">
        <v>1183</v>
      </c>
      <c r="M24" s="57">
        <v>2016</v>
      </c>
      <c r="N24" s="689" t="str">
        <f>NSTonghop!AG24</f>
        <v>V.07.04.11</v>
      </c>
      <c r="O24" s="58" t="s">
        <v>363</v>
      </c>
      <c r="P24" s="57">
        <v>5</v>
      </c>
      <c r="Q24" s="60">
        <v>3.66</v>
      </c>
      <c r="R24" s="51" t="str">
        <f t="shared" si="20"/>
        <v/>
      </c>
      <c r="S24" s="52" t="str">
        <f t="shared" si="21"/>
        <v/>
      </c>
      <c r="T24" s="51" t="str">
        <f t="shared" si="22"/>
        <v>01/3</v>
      </c>
      <c r="U24" s="52">
        <f t="shared" si="23"/>
        <v>3.99</v>
      </c>
      <c r="V24" s="51" t="str">
        <f t="shared" si="24"/>
        <v/>
      </c>
      <c r="W24" s="52" t="str">
        <f t="shared" si="25"/>
        <v/>
      </c>
      <c r="X24" s="51" t="str">
        <f t="shared" si="26"/>
        <v/>
      </c>
      <c r="Y24" s="52" t="str">
        <f t="shared" si="27"/>
        <v/>
      </c>
      <c r="Z24" s="51" t="str">
        <f t="shared" si="28"/>
        <v>01/3</v>
      </c>
      <c r="AA24" s="52">
        <f t="shared" si="29"/>
        <v>4.32</v>
      </c>
      <c r="AB24" s="51" t="str">
        <f t="shared" si="30"/>
        <v/>
      </c>
      <c r="AC24" s="52" t="str">
        <f t="shared" si="31"/>
        <v/>
      </c>
      <c r="AD24" s="51" t="str">
        <f t="shared" si="32"/>
        <v/>
      </c>
      <c r="AE24" s="52" t="str">
        <f t="shared" si="33"/>
        <v/>
      </c>
      <c r="AF24" s="51" t="str">
        <f t="shared" si="34"/>
        <v>01/3</v>
      </c>
      <c r="AG24" s="52">
        <f t="shared" si="35"/>
        <v>4.6500000000000004</v>
      </c>
      <c r="AH24" s="62"/>
    </row>
    <row r="25" spans="1:34" x14ac:dyDescent="0.25">
      <c r="A25" s="54">
        <f>IF(C25=0,0,MAX($A$8:A24)+1)</f>
        <v>18</v>
      </c>
      <c r="B25" s="55">
        <f>NSTonghop!E25</f>
        <v>0</v>
      </c>
      <c r="C25" s="55" t="str">
        <f>NSTonghop!F25</f>
        <v>Nguyễn Thị Kim Cúc</v>
      </c>
      <c r="D25" s="56">
        <v>15113</v>
      </c>
      <c r="E25" s="57">
        <v>1</v>
      </c>
      <c r="F25" s="57">
        <v>1.78</v>
      </c>
      <c r="G25" s="694" t="str">
        <f>NSTonghop!AL25</f>
        <v>01/9/1999</v>
      </c>
      <c r="H25" s="56" t="s">
        <v>366</v>
      </c>
      <c r="I25" s="57">
        <v>3</v>
      </c>
      <c r="J25" s="59">
        <v>3</v>
      </c>
      <c r="K25" s="80" t="s">
        <v>1337</v>
      </c>
      <c r="L25" s="80" t="s">
        <v>1181</v>
      </c>
      <c r="M25" s="57">
        <v>2018</v>
      </c>
      <c r="N25" s="689" t="str">
        <f>NSTonghop!AG25</f>
        <v>V.07.04.11</v>
      </c>
      <c r="O25" s="58" t="s">
        <v>363</v>
      </c>
      <c r="P25" s="57">
        <v>7</v>
      </c>
      <c r="Q25" s="60">
        <v>4.32</v>
      </c>
      <c r="R25" s="51" t="str">
        <f t="shared" si="20"/>
        <v/>
      </c>
      <c r="S25" s="52" t="str">
        <f t="shared" si="21"/>
        <v/>
      </c>
      <c r="T25" s="51" t="str">
        <f t="shared" si="22"/>
        <v/>
      </c>
      <c r="U25" s="52" t="str">
        <f t="shared" si="23"/>
        <v/>
      </c>
      <c r="V25" s="51" t="str">
        <f t="shared" si="24"/>
        <v/>
      </c>
      <c r="W25" s="52" t="str">
        <f t="shared" si="25"/>
        <v/>
      </c>
      <c r="X25" s="51" t="str">
        <f t="shared" si="26"/>
        <v>01/4</v>
      </c>
      <c r="Y25" s="52">
        <f t="shared" si="27"/>
        <v>4.6500000000000004</v>
      </c>
      <c r="Z25" s="51" t="str">
        <f t="shared" si="28"/>
        <v/>
      </c>
      <c r="AA25" s="52" t="str">
        <f t="shared" si="29"/>
        <v/>
      </c>
      <c r="AB25" s="51" t="str">
        <f t="shared" si="30"/>
        <v/>
      </c>
      <c r="AC25" s="52" t="str">
        <f t="shared" si="31"/>
        <v/>
      </c>
      <c r="AD25" s="51" t="str">
        <f t="shared" si="32"/>
        <v>01/4</v>
      </c>
      <c r="AE25" s="52">
        <f t="shared" si="33"/>
        <v>4.9800000000000004</v>
      </c>
      <c r="AF25" s="51" t="str">
        <f t="shared" si="34"/>
        <v/>
      </c>
      <c r="AG25" s="52" t="str">
        <f t="shared" si="35"/>
        <v/>
      </c>
      <c r="AH25" s="62"/>
    </row>
    <row r="26" spans="1:34" x14ac:dyDescent="0.25">
      <c r="A26" s="54">
        <f>IF(C26=0,0,MAX($A$8:A25)+1)</f>
        <v>19</v>
      </c>
      <c r="B26" s="55">
        <f>NSTonghop!E26</f>
        <v>0</v>
      </c>
      <c r="C26" s="55" t="str">
        <f>NSTonghop!F26</f>
        <v>Nguyễn Văn Hội</v>
      </c>
      <c r="D26" s="56"/>
      <c r="E26" s="57"/>
      <c r="F26" s="57">
        <v>242</v>
      </c>
      <c r="G26" s="694" t="str">
        <f>NSTonghop!AL26</f>
        <v>17/10/1984</v>
      </c>
      <c r="H26" s="56" t="s">
        <v>366</v>
      </c>
      <c r="I26" s="57">
        <v>6</v>
      </c>
      <c r="J26" s="59">
        <v>3.99</v>
      </c>
      <c r="K26" s="80" t="s">
        <v>767</v>
      </c>
      <c r="L26" s="80" t="s">
        <v>1182</v>
      </c>
      <c r="M26" s="57">
        <v>2014</v>
      </c>
      <c r="N26" s="689" t="str">
        <f>NSTonghop!AG26</f>
        <v>V.07.04.11</v>
      </c>
      <c r="O26" s="58" t="s">
        <v>363</v>
      </c>
      <c r="P26" s="57">
        <v>9</v>
      </c>
      <c r="Q26" s="60">
        <v>4.9800000000000004</v>
      </c>
      <c r="R26" s="411" t="s">
        <v>1182</v>
      </c>
      <c r="S26" s="78">
        <v>0.6</v>
      </c>
      <c r="T26" s="408"/>
      <c r="U26" s="407"/>
      <c r="V26" s="408"/>
      <c r="W26" s="407"/>
      <c r="X26" s="408"/>
      <c r="Y26" s="407"/>
      <c r="Z26" s="408"/>
      <c r="AA26" s="407"/>
      <c r="AB26" s="408"/>
      <c r="AC26" s="407"/>
      <c r="AD26" s="408"/>
      <c r="AE26" s="407"/>
      <c r="AF26" s="408"/>
      <c r="AG26" s="407"/>
      <c r="AH26" s="62"/>
    </row>
    <row r="27" spans="1:34" x14ac:dyDescent="0.25">
      <c r="A27" s="54">
        <f>IF(C27=0,0,MAX($A$8:A26)+1)</f>
        <v>20</v>
      </c>
      <c r="B27" s="55">
        <f>NSTonghop!E27</f>
        <v>0</v>
      </c>
      <c r="C27" s="55" t="str">
        <f>NSTonghop!F27</f>
        <v>Nguyễn Hoàng Tuấn</v>
      </c>
      <c r="D27" s="56"/>
      <c r="E27" s="57"/>
      <c r="F27" s="643" t="s">
        <v>958</v>
      </c>
      <c r="G27" s="694" t="str">
        <f>NSTonghop!AL27</f>
        <v>01/10/1981</v>
      </c>
      <c r="H27" s="56" t="s">
        <v>366</v>
      </c>
      <c r="I27" s="57">
        <v>6</v>
      </c>
      <c r="J27" s="59">
        <v>3.99</v>
      </c>
      <c r="K27" s="58">
        <v>38626</v>
      </c>
      <c r="L27" s="80" t="s">
        <v>1184</v>
      </c>
      <c r="M27" s="57">
        <v>2012</v>
      </c>
      <c r="N27" s="689" t="str">
        <f>NSTonghop!AG27</f>
        <v>V.07.04.11</v>
      </c>
      <c r="O27" s="58" t="s">
        <v>363</v>
      </c>
      <c r="P27" s="57"/>
      <c r="Q27" s="60"/>
      <c r="R27" s="113" t="s">
        <v>1184</v>
      </c>
      <c r="S27" s="52">
        <v>0.8</v>
      </c>
      <c r="T27" s="408"/>
      <c r="U27" s="407"/>
      <c r="V27" s="408"/>
      <c r="W27" s="407"/>
      <c r="X27" s="408"/>
      <c r="Y27" s="407"/>
      <c r="Z27" s="408"/>
      <c r="AA27" s="407"/>
      <c r="AB27" s="408"/>
      <c r="AC27" s="407"/>
      <c r="AD27" s="408"/>
      <c r="AE27" s="407"/>
      <c r="AF27" s="408"/>
      <c r="AG27" s="407"/>
      <c r="AH27" s="62"/>
    </row>
    <row r="28" spans="1:34" x14ac:dyDescent="0.25">
      <c r="A28" s="54">
        <f>IF(C28=0,0,MAX($A$8:A27)+1)</f>
        <v>21</v>
      </c>
      <c r="B28" s="55">
        <f>NSTonghop!E28</f>
        <v>0</v>
      </c>
      <c r="C28" s="55" t="str">
        <f>NSTonghop!F28</f>
        <v>Nguyễn Thị Kim Nghe</v>
      </c>
      <c r="D28" s="56"/>
      <c r="E28" s="57"/>
      <c r="F28" s="57">
        <v>272</v>
      </c>
      <c r="G28" s="694" t="str">
        <f>NSTonghop!AL28</f>
        <v>01/09/1988</v>
      </c>
      <c r="H28" s="56" t="s">
        <v>366</v>
      </c>
      <c r="I28" s="57">
        <v>5</v>
      </c>
      <c r="J28" s="59">
        <v>3.66</v>
      </c>
      <c r="K28" s="80" t="s">
        <v>767</v>
      </c>
      <c r="L28" s="80" t="s">
        <v>1185</v>
      </c>
      <c r="M28" s="57">
        <v>2015</v>
      </c>
      <c r="N28" s="689" t="str">
        <f>NSTonghop!AG28</f>
        <v>V.07.04.11</v>
      </c>
      <c r="O28" s="58" t="s">
        <v>363</v>
      </c>
      <c r="P28" s="57">
        <v>9</v>
      </c>
      <c r="Q28" s="60">
        <v>4.9800000000000004</v>
      </c>
      <c r="R28" s="77" t="str">
        <f t="shared" si="20"/>
        <v>01/5</v>
      </c>
      <c r="S28" s="78">
        <v>0.5</v>
      </c>
      <c r="T28" s="408"/>
      <c r="U28" s="407"/>
      <c r="V28" s="408"/>
      <c r="W28" s="407"/>
      <c r="X28" s="408"/>
      <c r="Y28" s="407"/>
      <c r="Z28" s="408"/>
      <c r="AA28" s="407"/>
      <c r="AB28" s="408"/>
      <c r="AC28" s="407"/>
      <c r="AD28" s="408"/>
      <c r="AE28" s="407"/>
      <c r="AF28" s="408"/>
      <c r="AG28" s="407"/>
      <c r="AH28" s="62"/>
    </row>
    <row r="29" spans="1:34" x14ac:dyDescent="0.25">
      <c r="A29" s="54">
        <f>IF(C29=0,0,MAX($A$8:A28)+1)</f>
        <v>22</v>
      </c>
      <c r="B29" s="55" t="str">
        <f>NSTonghop!E29</f>
        <v>Nghỉ việc 5/20</v>
      </c>
      <c r="C29" s="55" t="str">
        <f>NSTonghop!F29</f>
        <v>Trần Thị Hiên</v>
      </c>
      <c r="D29" s="56"/>
      <c r="E29" s="57"/>
      <c r="F29" s="57">
        <v>272</v>
      </c>
      <c r="G29" s="694" t="str">
        <f>NSTonghop!AL29</f>
        <v>01/09/1989</v>
      </c>
      <c r="H29" s="56" t="s">
        <v>366</v>
      </c>
      <c r="I29" s="57">
        <v>5</v>
      </c>
      <c r="J29" s="59">
        <v>3.66</v>
      </c>
      <c r="K29" s="58">
        <v>38626</v>
      </c>
      <c r="L29" s="80" t="s">
        <v>1184</v>
      </c>
      <c r="M29" s="57">
        <v>2014</v>
      </c>
      <c r="N29" s="689" t="str">
        <f>NSTonghop!AG29</f>
        <v>V.07.04.11</v>
      </c>
      <c r="O29" s="58" t="s">
        <v>363</v>
      </c>
      <c r="P29" s="57">
        <v>9</v>
      </c>
      <c r="Q29" s="60">
        <v>4.9800000000000004</v>
      </c>
      <c r="R29" s="411" t="s">
        <v>1184</v>
      </c>
      <c r="S29" s="78">
        <v>0.6</v>
      </c>
      <c r="T29" s="408"/>
      <c r="U29" s="407"/>
      <c r="V29" s="408"/>
      <c r="W29" s="407"/>
      <c r="X29" s="408"/>
      <c r="Y29" s="407"/>
      <c r="Z29" s="408"/>
      <c r="AA29" s="407"/>
      <c r="AB29" s="408"/>
      <c r="AC29" s="407"/>
      <c r="AD29" s="408"/>
      <c r="AE29" s="407"/>
      <c r="AF29" s="408"/>
      <c r="AG29" s="407"/>
      <c r="AH29" s="62"/>
    </row>
    <row r="30" spans="1:34" x14ac:dyDescent="0.25">
      <c r="A30" s="54">
        <f>IF(C30=0,0,MAX($A$8:A29)+1)</f>
        <v>23</v>
      </c>
      <c r="B30" s="55">
        <f>NSTonghop!E30</f>
        <v>0</v>
      </c>
      <c r="C30" s="55" t="str">
        <f>NSTonghop!F30</f>
        <v>Trần Khắc Cường</v>
      </c>
      <c r="D30" s="56"/>
      <c r="E30" s="57"/>
      <c r="F30" s="57">
        <v>50</v>
      </c>
      <c r="G30" s="705" t="s">
        <v>1408</v>
      </c>
      <c r="H30" s="56" t="s">
        <v>366</v>
      </c>
      <c r="I30" s="57">
        <v>7</v>
      </c>
      <c r="J30" s="59">
        <v>4.32</v>
      </c>
      <c r="K30" s="80" t="s">
        <v>767</v>
      </c>
      <c r="L30" s="80" t="s">
        <v>1368</v>
      </c>
      <c r="M30" s="57">
        <v>2009</v>
      </c>
      <c r="N30" s="689" t="str">
        <f>NSTonghop!AG30</f>
        <v>V.07.04.11</v>
      </c>
      <c r="O30" s="58" t="s">
        <v>363</v>
      </c>
      <c r="P30" s="57">
        <v>9</v>
      </c>
      <c r="Q30" s="60">
        <v>4.9800000000000004</v>
      </c>
      <c r="R30" s="77" t="str">
        <f t="shared" si="20"/>
        <v>01/01</v>
      </c>
      <c r="S30" s="78">
        <v>11</v>
      </c>
      <c r="T30" s="408" t="str">
        <f t="shared" si="22"/>
        <v/>
      </c>
      <c r="U30" s="407" t="str">
        <f t="shared" si="23"/>
        <v/>
      </c>
      <c r="V30" s="408" t="str">
        <f t="shared" si="24"/>
        <v/>
      </c>
      <c r="W30" s="407" t="str">
        <f t="shared" si="25"/>
        <v/>
      </c>
      <c r="X30" s="408" t="str">
        <f t="shared" si="26"/>
        <v>01/01</v>
      </c>
      <c r="Y30" s="407"/>
      <c r="Z30" s="408" t="str">
        <f t="shared" si="28"/>
        <v/>
      </c>
      <c r="AA30" s="407" t="str">
        <f t="shared" si="29"/>
        <v/>
      </c>
      <c r="AB30" s="408" t="str">
        <f t="shared" si="30"/>
        <v/>
      </c>
      <c r="AC30" s="407" t="str">
        <f t="shared" si="31"/>
        <v/>
      </c>
      <c r="AD30" s="408" t="str">
        <f t="shared" si="32"/>
        <v>01/01</v>
      </c>
      <c r="AE30" s="407"/>
      <c r="AF30" s="408" t="str">
        <f t="shared" si="34"/>
        <v/>
      </c>
      <c r="AG30" s="407" t="str">
        <f t="shared" si="35"/>
        <v/>
      </c>
      <c r="AH30" s="62"/>
    </row>
    <row r="31" spans="1:34" x14ac:dyDescent="0.25">
      <c r="A31" s="54">
        <f>IF(C31=0,0,MAX($A$8:A30)+1)</f>
        <v>24</v>
      </c>
      <c r="B31" s="55">
        <f>NSTonghop!E31</f>
        <v>0</v>
      </c>
      <c r="C31" s="55" t="str">
        <f>NSTonghop!F31</f>
        <v>Phạm Thị Ba</v>
      </c>
      <c r="D31" s="56"/>
      <c r="E31" s="57"/>
      <c r="F31" s="57">
        <v>272</v>
      </c>
      <c r="G31" s="694" t="str">
        <f>NSTonghop!AL31</f>
        <v>01/09/1988</v>
      </c>
      <c r="H31" s="56" t="s">
        <v>366</v>
      </c>
      <c r="I31" s="57">
        <v>5</v>
      </c>
      <c r="J31" s="59">
        <v>3.66</v>
      </c>
      <c r="K31" s="80" t="s">
        <v>767</v>
      </c>
      <c r="L31" s="80" t="s">
        <v>1356</v>
      </c>
      <c r="M31" s="57">
        <v>2013</v>
      </c>
      <c r="N31" s="689" t="str">
        <f>NSTonghop!AG31</f>
        <v>V.07.04.11</v>
      </c>
      <c r="O31" s="58" t="s">
        <v>363</v>
      </c>
      <c r="P31" s="57">
        <v>9</v>
      </c>
      <c r="Q31" s="60">
        <v>4.9800000000000004</v>
      </c>
      <c r="R31" s="411" t="s">
        <v>1356</v>
      </c>
      <c r="S31" s="78">
        <v>0.7</v>
      </c>
      <c r="T31" s="408"/>
      <c r="U31" s="407"/>
      <c r="V31" s="408"/>
      <c r="W31" s="407"/>
      <c r="X31" s="408"/>
      <c r="Y31" s="407"/>
      <c r="Z31" s="408"/>
      <c r="AA31" s="407"/>
      <c r="AB31" s="408"/>
      <c r="AC31" s="407"/>
      <c r="AD31" s="408"/>
      <c r="AE31" s="407"/>
      <c r="AF31" s="408"/>
      <c r="AG31" s="407"/>
      <c r="AH31" s="684"/>
    </row>
    <row r="32" spans="1:34" x14ac:dyDescent="0.25">
      <c r="A32" s="54">
        <f>IF(C32=0,0,MAX($A$8:A31)+1)</f>
        <v>25</v>
      </c>
      <c r="B32" s="55" t="str">
        <f>NSTonghop!E32</f>
        <v>Nghỉ việc 4/20</v>
      </c>
      <c r="C32" s="55" t="str">
        <f>NSTonghop!F32</f>
        <v>Trần Thiện Hoàng Sự</v>
      </c>
      <c r="D32" s="56"/>
      <c r="E32" s="57"/>
      <c r="F32" s="57">
        <v>272</v>
      </c>
      <c r="G32" s="694" t="str">
        <f>NSTonghop!AL32</f>
        <v>01/09/1984</v>
      </c>
      <c r="H32" s="56" t="s">
        <v>366</v>
      </c>
      <c r="I32" s="57">
        <v>6</v>
      </c>
      <c r="J32" s="59">
        <v>3.99</v>
      </c>
      <c r="K32" s="58">
        <v>38626</v>
      </c>
      <c r="L32" s="80" t="s">
        <v>1182</v>
      </c>
      <c r="M32" s="57">
        <v>2012</v>
      </c>
      <c r="N32" s="689" t="str">
        <f>NSTonghop!AG32</f>
        <v>V.07.04.11</v>
      </c>
      <c r="O32" s="58" t="s">
        <v>363</v>
      </c>
      <c r="P32" s="57">
        <v>9</v>
      </c>
      <c r="Q32" s="60">
        <v>4.9800000000000004</v>
      </c>
      <c r="R32" s="77" t="str">
        <f t="shared" si="20"/>
        <v>01/9</v>
      </c>
      <c r="S32" s="78">
        <v>0.8</v>
      </c>
      <c r="T32" s="408"/>
      <c r="U32" s="407"/>
      <c r="V32" s="408"/>
      <c r="W32" s="407"/>
      <c r="X32" s="408"/>
      <c r="Y32" s="407"/>
      <c r="Z32" s="408"/>
      <c r="AA32" s="407"/>
      <c r="AB32" s="408"/>
      <c r="AC32" s="407"/>
      <c r="AD32" s="408"/>
      <c r="AE32" s="407"/>
      <c r="AF32" s="408"/>
      <c r="AG32" s="407"/>
      <c r="AH32" s="63"/>
    </row>
    <row r="33" spans="1:34" x14ac:dyDescent="0.25">
      <c r="A33" s="54">
        <f>IF(C33=0,0,MAX($A$8:A32)+1)</f>
        <v>26</v>
      </c>
      <c r="B33" s="55" t="str">
        <f>NSTonghop!E33</f>
        <v>Nghỉ việc 9/17</v>
      </c>
      <c r="C33" s="55" t="str">
        <f>NSTonghop!F33</f>
        <v>Phạm Thị Tuyết Sương</v>
      </c>
      <c r="D33" s="56"/>
      <c r="E33" s="57"/>
      <c r="F33" s="57">
        <v>272</v>
      </c>
      <c r="G33" s="694" t="str">
        <f>NSTonghop!AL33</f>
        <v>10/9/1987</v>
      </c>
      <c r="H33" s="56" t="s">
        <v>366</v>
      </c>
      <c r="I33" s="57">
        <v>6</v>
      </c>
      <c r="J33" s="59">
        <v>3.99</v>
      </c>
      <c r="K33" s="58">
        <v>38626</v>
      </c>
      <c r="L33" s="80" t="s">
        <v>1184</v>
      </c>
      <c r="M33" s="57">
        <v>2013</v>
      </c>
      <c r="N33" s="689" t="str">
        <f>NSTonghop!AG33</f>
        <v>V.07.04.11</v>
      </c>
      <c r="O33" s="58" t="s">
        <v>363</v>
      </c>
      <c r="P33" s="57">
        <v>9</v>
      </c>
      <c r="Q33" s="60">
        <v>4.9800000000000004</v>
      </c>
      <c r="R33" s="408"/>
      <c r="S33" s="407"/>
      <c r="T33" s="408"/>
      <c r="U33" s="407"/>
      <c r="V33" s="408"/>
      <c r="W33" s="407"/>
      <c r="X33" s="408"/>
      <c r="Y33" s="407"/>
      <c r="Z33" s="408"/>
      <c r="AA33" s="407"/>
      <c r="AB33" s="408"/>
      <c r="AC33" s="407"/>
      <c r="AD33" s="408"/>
      <c r="AE33" s="407"/>
      <c r="AF33" s="408"/>
      <c r="AG33" s="407"/>
      <c r="AH33" s="63"/>
    </row>
    <row r="34" spans="1:34" x14ac:dyDescent="0.25">
      <c r="A34" s="54">
        <f>IF(C34=0,0,MAX($A$8:A33)+1)</f>
        <v>27</v>
      </c>
      <c r="B34" s="55">
        <f>NSTonghop!E34</f>
        <v>0</v>
      </c>
      <c r="C34" s="55" t="str">
        <f>NSTonghop!F34</f>
        <v>Trịnh Công Vĩnh</v>
      </c>
      <c r="D34" s="56" t="s">
        <v>366</v>
      </c>
      <c r="E34" s="57">
        <v>1</v>
      </c>
      <c r="F34" s="57">
        <v>2.34</v>
      </c>
      <c r="G34" s="694" t="str">
        <f>NSTonghop!AL34</f>
        <v>01/09/2012</v>
      </c>
      <c r="H34" s="56" t="s">
        <v>366</v>
      </c>
      <c r="I34" s="57">
        <v>1</v>
      </c>
      <c r="J34" s="59">
        <v>2.34</v>
      </c>
      <c r="K34" s="80" t="s">
        <v>1403</v>
      </c>
      <c r="L34" s="80" t="s">
        <v>1184</v>
      </c>
      <c r="M34" s="57">
        <v>2018</v>
      </c>
      <c r="N34" s="689" t="str">
        <f>NSTonghop!AG34</f>
        <v>V.07.04.11</v>
      </c>
      <c r="O34" s="58" t="s">
        <v>363</v>
      </c>
      <c r="P34" s="57">
        <v>3</v>
      </c>
      <c r="Q34" s="60">
        <v>3</v>
      </c>
      <c r="R34" s="51" t="str">
        <f t="shared" si="20"/>
        <v/>
      </c>
      <c r="S34" s="52" t="str">
        <f t="shared" si="21"/>
        <v/>
      </c>
      <c r="T34" s="51" t="str">
        <f t="shared" si="22"/>
        <v/>
      </c>
      <c r="U34" s="52" t="str">
        <f t="shared" si="23"/>
        <v/>
      </c>
      <c r="V34" s="51" t="str">
        <f t="shared" si="24"/>
        <v/>
      </c>
      <c r="W34" s="52" t="str">
        <f t="shared" si="25"/>
        <v/>
      </c>
      <c r="X34" s="51" t="str">
        <f t="shared" si="26"/>
        <v>01/12</v>
      </c>
      <c r="Y34" s="52">
        <f t="shared" si="27"/>
        <v>3.33</v>
      </c>
      <c r="Z34" s="51" t="str">
        <f t="shared" si="28"/>
        <v/>
      </c>
      <c r="AA34" s="52" t="str">
        <f t="shared" si="29"/>
        <v/>
      </c>
      <c r="AB34" s="51" t="str">
        <f t="shared" si="30"/>
        <v/>
      </c>
      <c r="AC34" s="52" t="str">
        <f t="shared" si="31"/>
        <v/>
      </c>
      <c r="AD34" s="51" t="str">
        <f t="shared" si="32"/>
        <v>01/12</v>
      </c>
      <c r="AE34" s="52">
        <f t="shared" si="33"/>
        <v>3.66</v>
      </c>
      <c r="AF34" s="51" t="str">
        <f t="shared" si="34"/>
        <v/>
      </c>
      <c r="AG34" s="52" t="str">
        <f t="shared" si="35"/>
        <v/>
      </c>
      <c r="AH34" s="63"/>
    </row>
    <row r="35" spans="1:34" x14ac:dyDescent="0.25">
      <c r="A35" s="54">
        <f>IF(C35=0,0,MAX($A$8:A34)+1)</f>
        <v>28</v>
      </c>
      <c r="B35" s="55">
        <f>NSTonghop!E35</f>
        <v>0</v>
      </c>
      <c r="C35" s="55" t="str">
        <f>NSTonghop!F35</f>
        <v>Trần Thị Kim Hương</v>
      </c>
      <c r="D35" s="56" t="s">
        <v>379</v>
      </c>
      <c r="E35" s="57">
        <v>1</v>
      </c>
      <c r="F35" s="57">
        <v>2.1</v>
      </c>
      <c r="G35" s="694" t="str">
        <f>NSTonghop!AL35</f>
        <v>01/09/2007</v>
      </c>
      <c r="H35" s="56" t="s">
        <v>366</v>
      </c>
      <c r="I35" s="57">
        <v>2</v>
      </c>
      <c r="J35" s="59">
        <v>2.67</v>
      </c>
      <c r="K35" s="80" t="s">
        <v>1405</v>
      </c>
      <c r="L35" s="80" t="s">
        <v>1183</v>
      </c>
      <c r="M35" s="57">
        <v>2017</v>
      </c>
      <c r="N35" s="689" t="str">
        <f>NSTonghop!AG35</f>
        <v>V.07.04.11</v>
      </c>
      <c r="O35" s="58" t="s">
        <v>363</v>
      </c>
      <c r="P35" s="57">
        <v>4</v>
      </c>
      <c r="Q35" s="60">
        <v>3.33</v>
      </c>
      <c r="R35" s="51" t="str">
        <f t="shared" si="20"/>
        <v/>
      </c>
      <c r="S35" s="52" t="str">
        <f t="shared" si="21"/>
        <v/>
      </c>
      <c r="T35" s="51" t="str">
        <f t="shared" si="22"/>
        <v/>
      </c>
      <c r="U35" s="52" t="str">
        <f t="shared" si="23"/>
        <v/>
      </c>
      <c r="V35" s="51" t="str">
        <f t="shared" si="24"/>
        <v>01/3</v>
      </c>
      <c r="W35" s="52">
        <f t="shared" si="25"/>
        <v>3.66</v>
      </c>
      <c r="X35" s="51" t="str">
        <f t="shared" si="26"/>
        <v/>
      </c>
      <c r="Y35" s="52" t="str">
        <f t="shared" si="27"/>
        <v/>
      </c>
      <c r="Z35" s="51" t="str">
        <f t="shared" si="28"/>
        <v/>
      </c>
      <c r="AA35" s="52" t="str">
        <f t="shared" si="29"/>
        <v/>
      </c>
      <c r="AB35" s="51" t="str">
        <f t="shared" si="30"/>
        <v>01/3</v>
      </c>
      <c r="AC35" s="52">
        <f t="shared" si="31"/>
        <v>3.99</v>
      </c>
      <c r="AD35" s="51" t="str">
        <f t="shared" si="32"/>
        <v/>
      </c>
      <c r="AE35" s="52" t="str">
        <f t="shared" si="33"/>
        <v/>
      </c>
      <c r="AF35" s="51" t="str">
        <f t="shared" si="34"/>
        <v/>
      </c>
      <c r="AG35" s="52" t="str">
        <f t="shared" si="35"/>
        <v/>
      </c>
      <c r="AH35" s="63"/>
    </row>
    <row r="36" spans="1:34" x14ac:dyDescent="0.25">
      <c r="A36" s="54">
        <f>IF(C36=0,0,MAX($A$8:A35)+1)</f>
        <v>29</v>
      </c>
      <c r="B36" s="55">
        <f>NSTonghop!E36</f>
        <v>0</v>
      </c>
      <c r="C36" s="55" t="str">
        <f>NSTonghop!F36</f>
        <v>Tô Thị Kiều</v>
      </c>
      <c r="D36" s="56" t="s">
        <v>366</v>
      </c>
      <c r="E36" s="57">
        <v>1</v>
      </c>
      <c r="F36" s="57">
        <v>2.34</v>
      </c>
      <c r="G36" s="694" t="str">
        <f>NSTonghop!AL36</f>
        <v>01/09/2013</v>
      </c>
      <c r="H36" s="56" t="s">
        <v>366</v>
      </c>
      <c r="I36" s="57">
        <v>1</v>
      </c>
      <c r="J36" s="59">
        <v>2.34</v>
      </c>
      <c r="K36" s="80" t="s">
        <v>1404</v>
      </c>
      <c r="L36" s="80" t="s">
        <v>1182</v>
      </c>
      <c r="M36" s="57">
        <v>2017</v>
      </c>
      <c r="N36" s="689" t="str">
        <f>NSTonghop!AG36</f>
        <v>V.07.04.11</v>
      </c>
      <c r="O36" s="58" t="s">
        <v>363</v>
      </c>
      <c r="P36" s="57">
        <v>2</v>
      </c>
      <c r="Q36" s="60">
        <v>2.67</v>
      </c>
      <c r="R36" s="51" t="str">
        <f t="shared" si="20"/>
        <v/>
      </c>
      <c r="S36" s="52" t="str">
        <f t="shared" si="21"/>
        <v/>
      </c>
      <c r="T36" s="51" t="str">
        <f t="shared" si="22"/>
        <v/>
      </c>
      <c r="U36" s="52" t="str">
        <f t="shared" si="23"/>
        <v/>
      </c>
      <c r="V36" s="51" t="str">
        <f t="shared" si="24"/>
        <v>01/9</v>
      </c>
      <c r="W36" s="52">
        <f t="shared" si="25"/>
        <v>3</v>
      </c>
      <c r="X36" s="51" t="str">
        <f t="shared" si="26"/>
        <v/>
      </c>
      <c r="Y36" s="52" t="str">
        <f t="shared" si="27"/>
        <v/>
      </c>
      <c r="Z36" s="51" t="str">
        <f t="shared" si="28"/>
        <v/>
      </c>
      <c r="AA36" s="52" t="str">
        <f t="shared" si="29"/>
        <v/>
      </c>
      <c r="AB36" s="51" t="str">
        <f t="shared" si="30"/>
        <v>01/9</v>
      </c>
      <c r="AC36" s="52">
        <f t="shared" si="31"/>
        <v>3.33</v>
      </c>
      <c r="AD36" s="51" t="str">
        <f t="shared" si="32"/>
        <v/>
      </c>
      <c r="AE36" s="52" t="str">
        <f t="shared" si="33"/>
        <v/>
      </c>
      <c r="AF36" s="51" t="str">
        <f t="shared" si="34"/>
        <v/>
      </c>
      <c r="AG36" s="52" t="str">
        <f t="shared" si="35"/>
        <v/>
      </c>
      <c r="AH36" s="63"/>
    </row>
    <row r="37" spans="1:34" x14ac:dyDescent="0.25">
      <c r="A37" s="54">
        <f>IF(C37=0,0,MAX($A$8:A36)+1)</f>
        <v>30</v>
      </c>
      <c r="B37" s="55">
        <f>NSTonghop!E37</f>
        <v>0</v>
      </c>
      <c r="C37" s="55" t="str">
        <f>NSTonghop!F37</f>
        <v>Nguyễn Thị Bạch Cúc</v>
      </c>
      <c r="D37" s="56"/>
      <c r="E37" s="57"/>
      <c r="F37" s="57">
        <v>272</v>
      </c>
      <c r="G37" s="694" t="str">
        <f>NSTonghop!AL37</f>
        <v>01/09/1988</v>
      </c>
      <c r="H37" s="56" t="s">
        <v>366</v>
      </c>
      <c r="I37" s="57">
        <v>5</v>
      </c>
      <c r="J37" s="59">
        <v>3.66</v>
      </c>
      <c r="K37" s="80" t="s">
        <v>767</v>
      </c>
      <c r="L37" s="80" t="s">
        <v>1182</v>
      </c>
      <c r="M37" s="57">
        <v>2015</v>
      </c>
      <c r="N37" s="689" t="str">
        <f>NSTonghop!AG37</f>
        <v>V.07.04.11</v>
      </c>
      <c r="O37" s="58" t="s">
        <v>363</v>
      </c>
      <c r="P37" s="57">
        <v>9</v>
      </c>
      <c r="Q37" s="60">
        <v>4.9800000000000004</v>
      </c>
      <c r="R37" s="77" t="str">
        <f t="shared" si="20"/>
        <v>01/9</v>
      </c>
      <c r="S37" s="78">
        <v>0.5</v>
      </c>
      <c r="T37" s="408"/>
      <c r="U37" s="407"/>
      <c r="V37" s="408"/>
      <c r="W37" s="407"/>
      <c r="X37" s="408"/>
      <c r="Y37" s="407"/>
      <c r="Z37" s="408"/>
      <c r="AA37" s="407"/>
      <c r="AB37" s="408"/>
      <c r="AC37" s="407"/>
      <c r="AD37" s="408"/>
      <c r="AE37" s="407"/>
      <c r="AF37" s="408"/>
      <c r="AG37" s="407"/>
      <c r="AH37" s="683"/>
    </row>
    <row r="38" spans="1:34" x14ac:dyDescent="0.25">
      <c r="A38" s="54">
        <f>IF(C38=0,0,MAX($A$8:A37)+1)</f>
        <v>31</v>
      </c>
      <c r="B38" s="55">
        <f>NSTonghop!E38</f>
        <v>0</v>
      </c>
      <c r="C38" s="55" t="str">
        <f>NSTonghop!F38</f>
        <v>Nguyễn Thị Kim Cương</v>
      </c>
      <c r="D38" s="56" t="s">
        <v>379</v>
      </c>
      <c r="E38" s="57">
        <v>1</v>
      </c>
      <c r="F38" s="57">
        <v>2.1</v>
      </c>
      <c r="G38" s="694" t="str">
        <f>NSTonghop!AL38</f>
        <v>01/09/2011</v>
      </c>
      <c r="H38" s="56" t="s">
        <v>366</v>
      </c>
      <c r="I38" s="57">
        <v>2</v>
      </c>
      <c r="J38" s="59">
        <v>2.67</v>
      </c>
      <c r="K38" s="80" t="s">
        <v>839</v>
      </c>
      <c r="L38" s="80" t="s">
        <v>1182</v>
      </c>
      <c r="M38" s="57">
        <v>2018</v>
      </c>
      <c r="N38" s="689" t="str">
        <f>NSTonghop!AG38</f>
        <v>V.07.04.11</v>
      </c>
      <c r="O38" s="58" t="s">
        <v>363</v>
      </c>
      <c r="P38" s="57">
        <v>3</v>
      </c>
      <c r="Q38" s="60">
        <v>3</v>
      </c>
      <c r="R38" s="51" t="str">
        <f t="shared" si="20"/>
        <v/>
      </c>
      <c r="S38" s="52" t="str">
        <f t="shared" si="21"/>
        <v/>
      </c>
      <c r="T38" s="51" t="str">
        <f t="shared" si="22"/>
        <v/>
      </c>
      <c r="U38" s="52" t="str">
        <f t="shared" si="23"/>
        <v/>
      </c>
      <c r="V38" s="51" t="str">
        <f t="shared" si="24"/>
        <v/>
      </c>
      <c r="W38" s="52" t="str">
        <f t="shared" si="25"/>
        <v/>
      </c>
      <c r="X38" s="51" t="str">
        <f t="shared" si="26"/>
        <v>01/9</v>
      </c>
      <c r="Y38" s="52">
        <f t="shared" si="27"/>
        <v>3.33</v>
      </c>
      <c r="Z38" s="51" t="str">
        <f t="shared" si="28"/>
        <v/>
      </c>
      <c r="AA38" s="52" t="str">
        <f t="shared" si="29"/>
        <v/>
      </c>
      <c r="AB38" s="51" t="str">
        <f t="shared" si="30"/>
        <v/>
      </c>
      <c r="AC38" s="52" t="str">
        <f t="shared" si="31"/>
        <v/>
      </c>
      <c r="AD38" s="51" t="str">
        <f t="shared" si="32"/>
        <v>01/9</v>
      </c>
      <c r="AE38" s="52">
        <f t="shared" si="33"/>
        <v>3.66</v>
      </c>
      <c r="AF38" s="51" t="str">
        <f t="shared" si="34"/>
        <v/>
      </c>
      <c r="AG38" s="52" t="str">
        <f t="shared" si="35"/>
        <v/>
      </c>
      <c r="AH38" s="63"/>
    </row>
    <row r="39" spans="1:34" x14ac:dyDescent="0.25">
      <c r="A39" s="54">
        <f>IF(C39=0,0,MAX($A$8:A38)+1)</f>
        <v>32</v>
      </c>
      <c r="B39" s="55">
        <f>NSTonghop!E39</f>
        <v>0</v>
      </c>
      <c r="C39" s="55" t="str">
        <f>NSTonghop!F39</f>
        <v>Trần Thị Ngọc Giàu</v>
      </c>
      <c r="D39" s="56"/>
      <c r="E39" s="57"/>
      <c r="F39" s="57"/>
      <c r="G39" s="694" t="str">
        <f>NSTonghop!AL39</f>
        <v>01/09/2003</v>
      </c>
      <c r="H39" s="56"/>
      <c r="I39" s="57"/>
      <c r="J39" s="59"/>
      <c r="K39" s="58"/>
      <c r="L39" s="58"/>
      <c r="M39" s="57"/>
      <c r="N39" s="689" t="str">
        <f>NSTonghop!AG39</f>
        <v>V.07.04.11</v>
      </c>
      <c r="O39" s="58" t="s">
        <v>363</v>
      </c>
      <c r="P39" s="57"/>
      <c r="Q39" s="60"/>
      <c r="R39" s="51" t="str">
        <f t="shared" si="20"/>
        <v/>
      </c>
      <c r="S39" s="52" t="str">
        <f t="shared" si="21"/>
        <v/>
      </c>
      <c r="T39" s="51" t="str">
        <f t="shared" si="22"/>
        <v/>
      </c>
      <c r="U39" s="52" t="str">
        <f t="shared" si="23"/>
        <v/>
      </c>
      <c r="V39" s="51" t="str">
        <f t="shared" si="24"/>
        <v/>
      </c>
      <c r="W39" s="52" t="str">
        <f t="shared" si="25"/>
        <v/>
      </c>
      <c r="X39" s="51" t="str">
        <f t="shared" si="26"/>
        <v/>
      </c>
      <c r="Y39" s="52" t="str">
        <f t="shared" si="27"/>
        <v/>
      </c>
      <c r="Z39" s="51" t="str">
        <f t="shared" si="28"/>
        <v/>
      </c>
      <c r="AA39" s="52" t="str">
        <f t="shared" si="29"/>
        <v/>
      </c>
      <c r="AB39" s="51" t="str">
        <f t="shared" si="30"/>
        <v/>
      </c>
      <c r="AC39" s="52" t="str">
        <f t="shared" si="31"/>
        <v/>
      </c>
      <c r="AD39" s="51" t="str">
        <f t="shared" si="32"/>
        <v/>
      </c>
      <c r="AE39" s="52" t="str">
        <f t="shared" si="33"/>
        <v/>
      </c>
      <c r="AF39" s="51" t="str">
        <f t="shared" si="34"/>
        <v/>
      </c>
      <c r="AG39" s="52" t="str">
        <f t="shared" si="35"/>
        <v/>
      </c>
      <c r="AH39" s="63"/>
    </row>
    <row r="40" spans="1:34" x14ac:dyDescent="0.25">
      <c r="A40" s="54">
        <f>IF(C40=0,0,MAX($A$8:A39)+1)</f>
        <v>33</v>
      </c>
      <c r="B40" s="55">
        <f>NSTonghop!E40</f>
        <v>0</v>
      </c>
      <c r="C40" s="55" t="str">
        <f>NSTonghop!F40</f>
        <v>Phạm Thị Thoa</v>
      </c>
      <c r="D40" s="56"/>
      <c r="E40" s="57"/>
      <c r="F40" s="57"/>
      <c r="G40" s="694" t="str">
        <f>NSTonghop!AL40</f>
        <v>01/09/1999</v>
      </c>
      <c r="H40" s="56"/>
      <c r="I40" s="57"/>
      <c r="J40" s="59"/>
      <c r="K40" s="58"/>
      <c r="L40" s="58"/>
      <c r="M40" s="57"/>
      <c r="N40" s="691" t="str">
        <f>NSTonghop!AG40</f>
        <v>V.07.04.12</v>
      </c>
      <c r="O40" s="74" t="s">
        <v>575</v>
      </c>
      <c r="P40" s="57"/>
      <c r="Q40" s="60"/>
      <c r="R40" s="51" t="str">
        <f t="shared" si="20"/>
        <v/>
      </c>
      <c r="S40" s="52" t="str">
        <f t="shared" si="21"/>
        <v/>
      </c>
      <c r="T40" s="51" t="str">
        <f t="shared" si="22"/>
        <v/>
      </c>
      <c r="U40" s="52" t="str">
        <f t="shared" si="23"/>
        <v/>
      </c>
      <c r="V40" s="51" t="str">
        <f t="shared" si="24"/>
        <v/>
      </c>
      <c r="W40" s="52" t="str">
        <f t="shared" si="25"/>
        <v/>
      </c>
      <c r="X40" s="51" t="str">
        <f t="shared" si="26"/>
        <v/>
      </c>
      <c r="Y40" s="52" t="str">
        <f t="shared" si="27"/>
        <v/>
      </c>
      <c r="Z40" s="51" t="str">
        <f t="shared" si="28"/>
        <v/>
      </c>
      <c r="AA40" s="52" t="str">
        <f t="shared" si="29"/>
        <v/>
      </c>
      <c r="AB40" s="51" t="str">
        <f t="shared" si="30"/>
        <v/>
      </c>
      <c r="AC40" s="52" t="str">
        <f t="shared" si="31"/>
        <v/>
      </c>
      <c r="AD40" s="51" t="str">
        <f t="shared" si="32"/>
        <v/>
      </c>
      <c r="AE40" s="52" t="str">
        <f t="shared" si="33"/>
        <v/>
      </c>
      <c r="AF40" s="51" t="str">
        <f t="shared" si="34"/>
        <v/>
      </c>
      <c r="AG40" s="52" t="str">
        <f t="shared" si="35"/>
        <v/>
      </c>
      <c r="AH40" s="62"/>
    </row>
    <row r="41" spans="1:34" x14ac:dyDescent="0.25">
      <c r="A41" s="54">
        <f>IF(C41=0,0,MAX($A$8:A40)+1)</f>
        <v>34</v>
      </c>
      <c r="B41" s="55">
        <f>NSTonghop!E41</f>
        <v>0</v>
      </c>
      <c r="C41" s="55" t="str">
        <f>NSTonghop!F41</f>
        <v>Lê Thị Tính</v>
      </c>
      <c r="D41" s="56">
        <v>15113</v>
      </c>
      <c r="E41" s="57">
        <v>1</v>
      </c>
      <c r="F41" s="57">
        <v>1.78</v>
      </c>
      <c r="G41" s="694" t="str">
        <f>NSTonghop!AL41</f>
        <v>01/09/2002</v>
      </c>
      <c r="H41" s="56" t="s">
        <v>366</v>
      </c>
      <c r="I41" s="57">
        <v>3</v>
      </c>
      <c r="J41" s="59">
        <v>3</v>
      </c>
      <c r="K41" s="80" t="s">
        <v>1354</v>
      </c>
      <c r="L41" s="80" t="s">
        <v>1355</v>
      </c>
      <c r="M41" s="57">
        <v>2017</v>
      </c>
      <c r="N41" s="689" t="str">
        <f>NSTonghop!AG41</f>
        <v>V.07.04.11</v>
      </c>
      <c r="O41" s="58" t="s">
        <v>363</v>
      </c>
      <c r="P41" s="57">
        <v>6</v>
      </c>
      <c r="Q41" s="60">
        <v>3.99</v>
      </c>
      <c r="R41" s="51" t="str">
        <f t="shared" si="20"/>
        <v/>
      </c>
      <c r="S41" s="52" t="str">
        <f t="shared" si="21"/>
        <v/>
      </c>
      <c r="T41" s="51" t="str">
        <f t="shared" si="22"/>
        <v/>
      </c>
      <c r="U41" s="52" t="str">
        <f t="shared" si="23"/>
        <v/>
      </c>
      <c r="V41" s="51" t="str">
        <f t="shared" si="24"/>
        <v>01/6</v>
      </c>
      <c r="W41" s="52">
        <f t="shared" si="25"/>
        <v>4.32</v>
      </c>
      <c r="X41" s="51" t="str">
        <f t="shared" si="26"/>
        <v/>
      </c>
      <c r="Y41" s="52" t="str">
        <f t="shared" si="27"/>
        <v/>
      </c>
      <c r="Z41" s="51" t="str">
        <f t="shared" si="28"/>
        <v/>
      </c>
      <c r="AA41" s="52" t="str">
        <f t="shared" si="29"/>
        <v/>
      </c>
      <c r="AB41" s="51" t="str">
        <f t="shared" si="30"/>
        <v>01/6</v>
      </c>
      <c r="AC41" s="52">
        <f t="shared" si="31"/>
        <v>4.6500000000000004</v>
      </c>
      <c r="AD41" s="51" t="str">
        <f t="shared" si="32"/>
        <v/>
      </c>
      <c r="AE41" s="52" t="str">
        <f t="shared" si="33"/>
        <v/>
      </c>
      <c r="AF41" s="51" t="str">
        <f t="shared" si="34"/>
        <v/>
      </c>
      <c r="AG41" s="52" t="str">
        <f t="shared" si="35"/>
        <v/>
      </c>
      <c r="AH41" s="62"/>
    </row>
    <row r="42" spans="1:34" x14ac:dyDescent="0.25">
      <c r="A42" s="54">
        <f>IF(C42=0,0,MAX($A$8:A41)+1)</f>
        <v>35</v>
      </c>
      <c r="B42" s="55">
        <f>NSTonghop!E42</f>
        <v>0</v>
      </c>
      <c r="C42" s="55" t="str">
        <f>NSTonghop!F42</f>
        <v>Võ Thị Kim Thùy</v>
      </c>
      <c r="D42" s="56" t="s">
        <v>1037</v>
      </c>
      <c r="E42" s="57">
        <v>1</v>
      </c>
      <c r="F42" s="57">
        <v>2.1</v>
      </c>
      <c r="G42" s="694" t="str">
        <f>NSTonghop!AL42</f>
        <v>10/10/2016</v>
      </c>
      <c r="H42" s="56" t="s">
        <v>1037</v>
      </c>
      <c r="I42" s="57">
        <v>1</v>
      </c>
      <c r="J42" s="59">
        <v>2.1</v>
      </c>
      <c r="K42" s="80" t="s">
        <v>1402</v>
      </c>
      <c r="L42" s="80" t="s">
        <v>1367</v>
      </c>
      <c r="M42" s="57">
        <v>2017</v>
      </c>
      <c r="N42" s="691" t="str">
        <f>NSTonghop!AG42</f>
        <v>V.07.04.12</v>
      </c>
      <c r="O42" s="74" t="s">
        <v>575</v>
      </c>
      <c r="P42" s="57"/>
      <c r="Q42" s="60">
        <v>2.1</v>
      </c>
      <c r="R42" s="51" t="str">
        <f t="shared" si="20"/>
        <v/>
      </c>
      <c r="S42" s="52" t="str">
        <f t="shared" si="21"/>
        <v/>
      </c>
      <c r="T42" s="51" t="str">
        <f t="shared" si="22"/>
        <v/>
      </c>
      <c r="U42" s="52" t="str">
        <f t="shared" si="23"/>
        <v/>
      </c>
      <c r="V42" s="51" t="str">
        <f t="shared" si="24"/>
        <v>01/7</v>
      </c>
      <c r="W42" s="52">
        <f t="shared" si="25"/>
        <v>2.41</v>
      </c>
      <c r="X42" s="51" t="str">
        <f t="shared" si="26"/>
        <v/>
      </c>
      <c r="Y42" s="52" t="str">
        <f t="shared" si="27"/>
        <v/>
      </c>
      <c r="Z42" s="51" t="str">
        <f t="shared" si="28"/>
        <v/>
      </c>
      <c r="AA42" s="52" t="str">
        <f t="shared" si="29"/>
        <v/>
      </c>
      <c r="AB42" s="51" t="str">
        <f t="shared" si="30"/>
        <v>01/7</v>
      </c>
      <c r="AC42" s="52">
        <f t="shared" si="31"/>
        <v>2.72</v>
      </c>
      <c r="AD42" s="51" t="str">
        <f t="shared" si="32"/>
        <v/>
      </c>
      <c r="AE42" s="52" t="str">
        <f t="shared" si="33"/>
        <v/>
      </c>
      <c r="AF42" s="51" t="str">
        <f t="shared" si="34"/>
        <v/>
      </c>
      <c r="AG42" s="52" t="str">
        <f t="shared" si="35"/>
        <v/>
      </c>
      <c r="AH42" s="62"/>
    </row>
    <row r="43" spans="1:34" x14ac:dyDescent="0.25">
      <c r="A43" s="54">
        <f>IF(C43=0,0,MAX($A$8:A42)+1)</f>
        <v>36</v>
      </c>
      <c r="B43" s="55">
        <f>NSTonghop!E43</f>
        <v>0</v>
      </c>
      <c r="C43" s="55" t="str">
        <f>NSTonghop!F43</f>
        <v>Châu Thị Huỳnh Mai</v>
      </c>
      <c r="D43" s="56">
        <v>15113</v>
      </c>
      <c r="E43" s="57">
        <v>1</v>
      </c>
      <c r="F43" s="57">
        <v>1.78</v>
      </c>
      <c r="G43" s="694" t="str">
        <f>NSTonghop!AL43</f>
        <v>01/09/1996</v>
      </c>
      <c r="H43" s="56" t="s">
        <v>366</v>
      </c>
      <c r="I43" s="57">
        <v>3</v>
      </c>
      <c r="J43" s="59">
        <v>3</v>
      </c>
      <c r="K43" s="80" t="s">
        <v>767</v>
      </c>
      <c r="L43" s="80" t="s">
        <v>1355</v>
      </c>
      <c r="M43" s="57">
        <v>2017</v>
      </c>
      <c r="N43" s="689" t="str">
        <f>NSTonghop!AG43</f>
        <v>V.07.04.11</v>
      </c>
      <c r="O43" s="58" t="s">
        <v>363</v>
      </c>
      <c r="P43" s="57">
        <v>8</v>
      </c>
      <c r="Q43" s="60">
        <v>4.6500000000000004</v>
      </c>
      <c r="R43" s="51" t="str">
        <f t="shared" si="20"/>
        <v/>
      </c>
      <c r="S43" s="52" t="str">
        <f t="shared" si="21"/>
        <v/>
      </c>
      <c r="T43" s="51" t="str">
        <f t="shared" si="22"/>
        <v/>
      </c>
      <c r="U43" s="52" t="str">
        <f t="shared" si="23"/>
        <v/>
      </c>
      <c r="V43" s="51" t="str">
        <f t="shared" si="24"/>
        <v>01/6</v>
      </c>
      <c r="W43" s="52">
        <f t="shared" si="25"/>
        <v>4.9800000000000004</v>
      </c>
      <c r="X43" s="51" t="str">
        <f t="shared" si="26"/>
        <v/>
      </c>
      <c r="Y43" s="52" t="str">
        <f t="shared" si="27"/>
        <v/>
      </c>
      <c r="Z43" s="51" t="str">
        <f t="shared" si="28"/>
        <v/>
      </c>
      <c r="AA43" s="52" t="str">
        <f t="shared" si="29"/>
        <v/>
      </c>
      <c r="AB43" s="51" t="str">
        <f t="shared" si="30"/>
        <v>01/6</v>
      </c>
      <c r="AC43" s="52">
        <f t="shared" si="31"/>
        <v>5.3100000000000005</v>
      </c>
      <c r="AD43" s="51" t="str">
        <f t="shared" si="32"/>
        <v/>
      </c>
      <c r="AE43" s="52" t="str">
        <f t="shared" si="33"/>
        <v/>
      </c>
      <c r="AF43" s="51" t="str">
        <f t="shared" si="34"/>
        <v/>
      </c>
      <c r="AG43" s="52" t="str">
        <f t="shared" si="35"/>
        <v/>
      </c>
      <c r="AH43" s="62"/>
    </row>
    <row r="44" spans="1:34" x14ac:dyDescent="0.25">
      <c r="A44" s="54">
        <f>IF(C44=0,0,MAX($A$8:A43)+1)</f>
        <v>37</v>
      </c>
      <c r="B44" s="55">
        <f>NSTonghop!E44</f>
        <v>0</v>
      </c>
      <c r="C44" s="55" t="str">
        <f>NSTonghop!F44</f>
        <v>Huỳnh Thị Lang Chi</v>
      </c>
      <c r="D44" s="56"/>
      <c r="E44" s="57"/>
      <c r="F44" s="57"/>
      <c r="G44" s="694" t="str">
        <f>NSTonghop!AL44</f>
        <v>01/09/1993</v>
      </c>
      <c r="H44" s="56" t="s">
        <v>366</v>
      </c>
      <c r="I44" s="57"/>
      <c r="J44" s="59"/>
      <c r="K44" s="58"/>
      <c r="L44" s="58"/>
      <c r="M44" s="57"/>
      <c r="N44" s="689" t="str">
        <f>NSTonghop!AG44</f>
        <v>V.07.04.11</v>
      </c>
      <c r="O44" s="58" t="s">
        <v>363</v>
      </c>
      <c r="P44" s="57"/>
      <c r="Q44" s="60"/>
      <c r="R44" s="51" t="str">
        <f t="shared" si="20"/>
        <v/>
      </c>
      <c r="S44" s="52" t="str">
        <f t="shared" si="21"/>
        <v/>
      </c>
      <c r="T44" s="51" t="str">
        <f t="shared" si="22"/>
        <v/>
      </c>
      <c r="U44" s="52" t="str">
        <f t="shared" si="23"/>
        <v/>
      </c>
      <c r="V44" s="51" t="str">
        <f t="shared" si="24"/>
        <v/>
      </c>
      <c r="W44" s="52" t="str">
        <f t="shared" si="25"/>
        <v/>
      </c>
      <c r="X44" s="51" t="str">
        <f t="shared" si="26"/>
        <v/>
      </c>
      <c r="Y44" s="52" t="str">
        <f t="shared" si="27"/>
        <v/>
      </c>
      <c r="Z44" s="51" t="str">
        <f t="shared" si="28"/>
        <v/>
      </c>
      <c r="AA44" s="52" t="str">
        <f t="shared" si="29"/>
        <v/>
      </c>
      <c r="AB44" s="51" t="str">
        <f t="shared" si="30"/>
        <v/>
      </c>
      <c r="AC44" s="52" t="str">
        <f t="shared" si="31"/>
        <v/>
      </c>
      <c r="AD44" s="51" t="str">
        <f t="shared" si="32"/>
        <v/>
      </c>
      <c r="AE44" s="52" t="str">
        <f t="shared" si="33"/>
        <v/>
      </c>
      <c r="AF44" s="51" t="str">
        <f t="shared" si="34"/>
        <v/>
      </c>
      <c r="AG44" s="52" t="str">
        <f t="shared" si="35"/>
        <v/>
      </c>
      <c r="AH44" s="62"/>
    </row>
    <row r="45" spans="1:34" x14ac:dyDescent="0.25">
      <c r="A45" s="54">
        <f>IF(C45=0,0,MAX($A$8:A44)+1)</f>
        <v>38</v>
      </c>
      <c r="B45" s="55">
        <f>NSTonghop!E45</f>
        <v>0</v>
      </c>
      <c r="C45" s="55" t="str">
        <f>NSTonghop!F45</f>
        <v>Đoàn Thị Viên An</v>
      </c>
      <c r="D45" s="56">
        <v>15113</v>
      </c>
      <c r="E45" s="57">
        <v>1</v>
      </c>
      <c r="F45" s="57">
        <v>1.78</v>
      </c>
      <c r="G45" s="694" t="str">
        <f>NSTonghop!AL45</f>
        <v>01/09/1999</v>
      </c>
      <c r="H45" s="56" t="s">
        <v>366</v>
      </c>
      <c r="I45" s="57">
        <v>3</v>
      </c>
      <c r="J45" s="59">
        <v>3</v>
      </c>
      <c r="K45" s="80" t="s">
        <v>1337</v>
      </c>
      <c r="L45" s="80" t="s">
        <v>1356</v>
      </c>
      <c r="M45" s="57">
        <v>2017</v>
      </c>
      <c r="N45" s="689" t="str">
        <f>NSTonghop!AG45</f>
        <v>V.07.04.11</v>
      </c>
      <c r="O45" s="58" t="s">
        <v>363</v>
      </c>
      <c r="P45" s="57">
        <v>7</v>
      </c>
      <c r="Q45" s="60">
        <v>4.32</v>
      </c>
      <c r="R45" s="51" t="str">
        <f t="shared" si="20"/>
        <v/>
      </c>
      <c r="S45" s="52" t="str">
        <f t="shared" si="21"/>
        <v/>
      </c>
      <c r="T45" s="51" t="str">
        <f t="shared" si="22"/>
        <v/>
      </c>
      <c r="U45" s="52" t="str">
        <f t="shared" si="23"/>
        <v/>
      </c>
      <c r="V45" s="51" t="str">
        <f t="shared" si="24"/>
        <v>01/10</v>
      </c>
      <c r="W45" s="52">
        <f t="shared" si="25"/>
        <v>4.6500000000000004</v>
      </c>
      <c r="X45" s="51" t="str">
        <f t="shared" si="26"/>
        <v/>
      </c>
      <c r="Y45" s="52" t="str">
        <f t="shared" si="27"/>
        <v/>
      </c>
      <c r="Z45" s="51" t="str">
        <f t="shared" si="28"/>
        <v/>
      </c>
      <c r="AA45" s="52" t="str">
        <f t="shared" si="29"/>
        <v/>
      </c>
      <c r="AB45" s="51" t="str">
        <f t="shared" si="30"/>
        <v>01/10</v>
      </c>
      <c r="AC45" s="52">
        <f t="shared" si="31"/>
        <v>4.9800000000000004</v>
      </c>
      <c r="AD45" s="51" t="str">
        <f t="shared" si="32"/>
        <v/>
      </c>
      <c r="AE45" s="52" t="str">
        <f t="shared" si="33"/>
        <v/>
      </c>
      <c r="AF45" s="51" t="str">
        <f t="shared" si="34"/>
        <v/>
      </c>
      <c r="AG45" s="52" t="str">
        <f t="shared" si="35"/>
        <v/>
      </c>
      <c r="AH45" s="62"/>
    </row>
    <row r="46" spans="1:34" x14ac:dyDescent="0.25">
      <c r="A46" s="54">
        <f>IF(C46=0,0,MAX($A$8:A45)+1)</f>
        <v>39</v>
      </c>
      <c r="B46" s="55">
        <f>NSTonghop!E46</f>
        <v>0</v>
      </c>
      <c r="C46" s="55" t="str">
        <f>NSTonghop!F46</f>
        <v>Nguyễn Thị Đầm</v>
      </c>
      <c r="D46" s="56">
        <v>15113</v>
      </c>
      <c r="E46" s="57">
        <v>1</v>
      </c>
      <c r="F46" s="410">
        <v>1.78</v>
      </c>
      <c r="G46" s="694" t="str">
        <f>NSTonghop!AL46</f>
        <v>01/09/1998</v>
      </c>
      <c r="H46" s="56" t="s">
        <v>366</v>
      </c>
      <c r="I46" s="57">
        <v>2</v>
      </c>
      <c r="J46" s="59">
        <v>2.67</v>
      </c>
      <c r="K46" s="80" t="s">
        <v>767</v>
      </c>
      <c r="L46" s="80" t="s">
        <v>1182</v>
      </c>
      <c r="M46" s="57">
        <v>2016</v>
      </c>
      <c r="N46" s="689" t="str">
        <f>NSTonghop!AG46</f>
        <v>V.07.04.11</v>
      </c>
      <c r="O46" s="58" t="s">
        <v>363</v>
      </c>
      <c r="P46" s="57">
        <v>7</v>
      </c>
      <c r="Q46" s="60">
        <v>4.32</v>
      </c>
      <c r="R46" s="51" t="str">
        <f t="shared" si="20"/>
        <v/>
      </c>
      <c r="S46" s="52" t="str">
        <f t="shared" si="21"/>
        <v/>
      </c>
      <c r="T46" s="51" t="str">
        <f t="shared" si="22"/>
        <v>01/9</v>
      </c>
      <c r="U46" s="52">
        <f t="shared" si="23"/>
        <v>4.6500000000000004</v>
      </c>
      <c r="V46" s="51" t="str">
        <f t="shared" si="24"/>
        <v/>
      </c>
      <c r="W46" s="52" t="str">
        <f t="shared" si="25"/>
        <v/>
      </c>
      <c r="X46" s="51" t="str">
        <f t="shared" si="26"/>
        <v/>
      </c>
      <c r="Y46" s="52" t="str">
        <f t="shared" si="27"/>
        <v/>
      </c>
      <c r="Z46" s="51" t="str">
        <f t="shared" si="28"/>
        <v>01/9</v>
      </c>
      <c r="AA46" s="52">
        <f t="shared" si="29"/>
        <v>4.9800000000000004</v>
      </c>
      <c r="AB46" s="51" t="str">
        <f t="shared" si="30"/>
        <v/>
      </c>
      <c r="AC46" s="52" t="str">
        <f t="shared" si="31"/>
        <v/>
      </c>
      <c r="AD46" s="51" t="str">
        <f t="shared" si="32"/>
        <v/>
      </c>
      <c r="AE46" s="52" t="str">
        <f t="shared" si="33"/>
        <v/>
      </c>
      <c r="AF46" s="51" t="str">
        <f t="shared" si="34"/>
        <v>01/9</v>
      </c>
      <c r="AG46" s="52">
        <f t="shared" si="35"/>
        <v>5.3100000000000005</v>
      </c>
      <c r="AH46" s="62"/>
    </row>
    <row r="47" spans="1:34" x14ac:dyDescent="0.25">
      <c r="A47" s="54">
        <f>IF(C47=0,0,MAX($A$8:A46)+1)</f>
        <v>40</v>
      </c>
      <c r="B47" s="55">
        <f>NSTonghop!E47</f>
        <v>0</v>
      </c>
      <c r="C47" s="55" t="str">
        <f>NSTonghop!F47</f>
        <v>Trần Thị Thanh Tiền</v>
      </c>
      <c r="D47" s="56"/>
      <c r="E47" s="57"/>
      <c r="F47" s="57"/>
      <c r="G47" s="694" t="str">
        <f>NSTonghop!AL47</f>
        <v>01/09/2003</v>
      </c>
      <c r="H47" s="56" t="s">
        <v>366</v>
      </c>
      <c r="I47" s="57"/>
      <c r="J47" s="59"/>
      <c r="K47" s="58"/>
      <c r="L47" s="80" t="s">
        <v>1183</v>
      </c>
      <c r="M47" s="57">
        <v>2018</v>
      </c>
      <c r="N47" s="689" t="str">
        <f>NSTonghop!AG47</f>
        <v>V.07.04.11</v>
      </c>
      <c r="O47" s="58" t="s">
        <v>363</v>
      </c>
      <c r="P47" s="57"/>
      <c r="Q47" s="60"/>
      <c r="R47" s="51" t="str">
        <f t="shared" si="20"/>
        <v/>
      </c>
      <c r="S47" s="52" t="str">
        <f t="shared" si="21"/>
        <v/>
      </c>
      <c r="T47" s="51" t="str">
        <f t="shared" si="22"/>
        <v/>
      </c>
      <c r="U47" s="52" t="str">
        <f t="shared" si="23"/>
        <v/>
      </c>
      <c r="V47" s="51" t="str">
        <f t="shared" si="24"/>
        <v/>
      </c>
      <c r="W47" s="52" t="str">
        <f t="shared" si="25"/>
        <v/>
      </c>
      <c r="X47" s="51" t="str">
        <f t="shared" si="26"/>
        <v>01/3</v>
      </c>
      <c r="Y47" s="52">
        <f t="shared" si="27"/>
        <v>0.33</v>
      </c>
      <c r="Z47" s="51" t="str">
        <f t="shared" si="28"/>
        <v/>
      </c>
      <c r="AA47" s="52" t="str">
        <f t="shared" si="29"/>
        <v/>
      </c>
      <c r="AB47" s="51" t="str">
        <f t="shared" si="30"/>
        <v/>
      </c>
      <c r="AC47" s="52" t="str">
        <f t="shared" si="31"/>
        <v/>
      </c>
      <c r="AD47" s="51" t="str">
        <f t="shared" si="32"/>
        <v>01/3</v>
      </c>
      <c r="AE47" s="52">
        <f t="shared" si="33"/>
        <v>0.66</v>
      </c>
      <c r="AF47" s="51" t="str">
        <f t="shared" si="34"/>
        <v/>
      </c>
      <c r="AG47" s="52" t="str">
        <f t="shared" si="35"/>
        <v/>
      </c>
      <c r="AH47" s="63"/>
    </row>
    <row r="48" spans="1:34" x14ac:dyDescent="0.25">
      <c r="A48" s="54">
        <f>IF(C48=0,0,MAX($A$8:A47)+1)</f>
        <v>41</v>
      </c>
      <c r="B48" s="55">
        <f>NSTonghop!E48</f>
        <v>0</v>
      </c>
      <c r="C48" s="55" t="str">
        <f>NSTonghop!F48</f>
        <v>Hồ Thị Cẩm Thu</v>
      </c>
      <c r="D48" s="56"/>
      <c r="E48" s="57"/>
      <c r="F48" s="57"/>
      <c r="G48" s="694" t="str">
        <f>NSTonghop!AL48</f>
        <v>16/02/1990</v>
      </c>
      <c r="H48" s="56"/>
      <c r="I48" s="57"/>
      <c r="J48" s="59"/>
      <c r="K48" s="58"/>
      <c r="L48" s="58"/>
      <c r="M48" s="57"/>
      <c r="N48" s="691" t="str">
        <f>NSTonghop!AG48</f>
        <v>V.07.04.12</v>
      </c>
      <c r="O48" s="74" t="s">
        <v>575</v>
      </c>
      <c r="P48" s="57"/>
      <c r="Q48" s="60"/>
      <c r="R48" s="51" t="str">
        <f t="shared" si="20"/>
        <v/>
      </c>
      <c r="S48" s="52" t="str">
        <f t="shared" si="21"/>
        <v/>
      </c>
      <c r="T48" s="51" t="str">
        <f t="shared" si="22"/>
        <v/>
      </c>
      <c r="U48" s="52" t="str">
        <f t="shared" si="23"/>
        <v/>
      </c>
      <c r="V48" s="51" t="str">
        <f t="shared" si="24"/>
        <v/>
      </c>
      <c r="W48" s="52" t="str">
        <f t="shared" si="25"/>
        <v/>
      </c>
      <c r="X48" s="51" t="str">
        <f t="shared" si="26"/>
        <v/>
      </c>
      <c r="Y48" s="52" t="str">
        <f t="shared" si="27"/>
        <v/>
      </c>
      <c r="Z48" s="51" t="str">
        <f t="shared" si="28"/>
        <v/>
      </c>
      <c r="AA48" s="52" t="str">
        <f t="shared" si="29"/>
        <v/>
      </c>
      <c r="AB48" s="51" t="str">
        <f t="shared" si="30"/>
        <v/>
      </c>
      <c r="AC48" s="52" t="str">
        <f t="shared" si="31"/>
        <v/>
      </c>
      <c r="AD48" s="51" t="str">
        <f t="shared" si="32"/>
        <v/>
      </c>
      <c r="AE48" s="52" t="str">
        <f t="shared" si="33"/>
        <v/>
      </c>
      <c r="AF48" s="51" t="str">
        <f t="shared" si="34"/>
        <v/>
      </c>
      <c r="AG48" s="52" t="str">
        <f t="shared" si="35"/>
        <v/>
      </c>
      <c r="AH48" s="63"/>
    </row>
    <row r="49" spans="1:34" x14ac:dyDescent="0.25">
      <c r="A49" s="54">
        <f>IF(C49=0,0,MAX($A$8:A48)+1)</f>
        <v>42</v>
      </c>
      <c r="B49" s="55" t="str">
        <f>NSTonghop!E49</f>
        <v>Nghỉ hưu 4/20</v>
      </c>
      <c r="C49" s="55" t="str">
        <f>NSTonghop!F49</f>
        <v>Võ Trọng Phê</v>
      </c>
      <c r="D49" s="56"/>
      <c r="E49" s="57"/>
      <c r="F49" s="643" t="s">
        <v>958</v>
      </c>
      <c r="G49" s="694" t="str">
        <f>NSTonghop!AL49</f>
        <v>01/10/1982</v>
      </c>
      <c r="H49" s="56" t="s">
        <v>366</v>
      </c>
      <c r="I49" s="57">
        <v>6</v>
      </c>
      <c r="J49" s="59">
        <v>3.99</v>
      </c>
      <c r="K49" s="80" t="s">
        <v>767</v>
      </c>
      <c r="L49" s="80" t="s">
        <v>1182</v>
      </c>
      <c r="M49" s="57">
        <v>2012</v>
      </c>
      <c r="N49" s="689" t="str">
        <f>NSTonghop!AG49</f>
        <v>V.07.04.11</v>
      </c>
      <c r="O49" s="58" t="s">
        <v>363</v>
      </c>
      <c r="P49" s="57">
        <v>9</v>
      </c>
      <c r="Q49" s="60">
        <v>4.9800000000000004</v>
      </c>
      <c r="R49" s="77" t="str">
        <f t="shared" si="20"/>
        <v>01/9</v>
      </c>
      <c r="S49" s="78">
        <v>0.8</v>
      </c>
      <c r="T49" s="408"/>
      <c r="U49" s="407"/>
      <c r="V49" s="408"/>
      <c r="W49" s="407"/>
      <c r="X49" s="408"/>
      <c r="Y49" s="407"/>
      <c r="Z49" s="408"/>
      <c r="AA49" s="407"/>
      <c r="AB49" s="408"/>
      <c r="AC49" s="407"/>
      <c r="AD49" s="408"/>
      <c r="AE49" s="407"/>
      <c r="AF49" s="408"/>
      <c r="AG49" s="407"/>
      <c r="AH49" s="683"/>
    </row>
    <row r="50" spans="1:34" x14ac:dyDescent="0.25">
      <c r="A50" s="54">
        <f>IF(C50=0,0,MAX($A$8:A49)+1)</f>
        <v>43</v>
      </c>
      <c r="B50" s="55">
        <f>NSTonghop!E50</f>
        <v>0</v>
      </c>
      <c r="C50" s="55" t="str">
        <f>NSTonghop!F50</f>
        <v>Lê Thị Bích Ngọc</v>
      </c>
      <c r="D50" s="56">
        <v>15113</v>
      </c>
      <c r="E50" s="57">
        <v>1</v>
      </c>
      <c r="F50" s="57">
        <v>0.78</v>
      </c>
      <c r="G50" s="694" t="str">
        <f>NSTonghop!AL50</f>
        <v>01/09/2001</v>
      </c>
      <c r="H50" s="56" t="s">
        <v>366</v>
      </c>
      <c r="I50" s="57">
        <v>3</v>
      </c>
      <c r="J50" s="59">
        <v>3</v>
      </c>
      <c r="K50" s="80" t="s">
        <v>1370</v>
      </c>
      <c r="L50" s="80" t="s">
        <v>1355</v>
      </c>
      <c r="M50" s="57">
        <v>2018</v>
      </c>
      <c r="N50" s="689" t="str">
        <f>NSTonghop!AG50</f>
        <v>V.07.04.11</v>
      </c>
      <c r="O50" s="58" t="s">
        <v>363</v>
      </c>
      <c r="P50" s="57">
        <v>7</v>
      </c>
      <c r="Q50" s="60">
        <v>4.32</v>
      </c>
      <c r="R50" s="51" t="str">
        <f t="shared" si="20"/>
        <v/>
      </c>
      <c r="S50" s="52" t="str">
        <f t="shared" si="21"/>
        <v/>
      </c>
      <c r="T50" s="51" t="str">
        <f t="shared" si="22"/>
        <v/>
      </c>
      <c r="U50" s="52" t="str">
        <f t="shared" si="23"/>
        <v/>
      </c>
      <c r="V50" s="51" t="str">
        <f t="shared" si="24"/>
        <v/>
      </c>
      <c r="W50" s="52" t="str">
        <f t="shared" si="25"/>
        <v/>
      </c>
      <c r="X50" s="51" t="str">
        <f t="shared" si="26"/>
        <v>01/6</v>
      </c>
      <c r="Y50" s="52">
        <f t="shared" si="27"/>
        <v>4.6500000000000004</v>
      </c>
      <c r="Z50" s="51" t="str">
        <f t="shared" si="28"/>
        <v/>
      </c>
      <c r="AA50" s="52" t="str">
        <f t="shared" si="29"/>
        <v/>
      </c>
      <c r="AB50" s="51" t="str">
        <f t="shared" si="30"/>
        <v/>
      </c>
      <c r="AC50" s="52" t="str">
        <f t="shared" si="31"/>
        <v/>
      </c>
      <c r="AD50" s="51" t="str">
        <f t="shared" si="32"/>
        <v>01/6</v>
      </c>
      <c r="AE50" s="52">
        <f t="shared" si="33"/>
        <v>4.9800000000000004</v>
      </c>
      <c r="AF50" s="51" t="str">
        <f t="shared" si="34"/>
        <v/>
      </c>
      <c r="AG50" s="52" t="str">
        <f t="shared" si="35"/>
        <v/>
      </c>
      <c r="AH50" s="63"/>
    </row>
    <row r="51" spans="1:34" x14ac:dyDescent="0.25">
      <c r="A51" s="54">
        <f>IF(C51=0,0,MAX($A$8:A50)+1)</f>
        <v>44</v>
      </c>
      <c r="B51" s="55">
        <f>NSTonghop!E51</f>
        <v>0</v>
      </c>
      <c r="C51" s="55" t="str">
        <f>NSTonghop!F51</f>
        <v>Nguyễn Thị Thùy Linh</v>
      </c>
      <c r="D51" s="56">
        <v>15113</v>
      </c>
      <c r="E51" s="57">
        <v>1</v>
      </c>
      <c r="F51" s="57">
        <v>1.78</v>
      </c>
      <c r="G51" s="694" t="str">
        <f>NSTonghop!AL51</f>
        <v>01/09/2002</v>
      </c>
      <c r="H51" s="56" t="s">
        <v>366</v>
      </c>
      <c r="I51" s="57">
        <v>2</v>
      </c>
      <c r="J51" s="59">
        <v>2.67</v>
      </c>
      <c r="K51" s="80" t="s">
        <v>1369</v>
      </c>
      <c r="L51" s="80" t="s">
        <v>1182</v>
      </c>
      <c r="M51" s="57">
        <v>2017</v>
      </c>
      <c r="N51" s="689" t="str">
        <f>NSTonghop!AG51</f>
        <v>V.07.04.11</v>
      </c>
      <c r="O51" s="58" t="s">
        <v>363</v>
      </c>
      <c r="P51" s="57">
        <v>6</v>
      </c>
      <c r="Q51" s="60">
        <v>3.99</v>
      </c>
      <c r="R51" s="51" t="str">
        <f t="shared" si="20"/>
        <v/>
      </c>
      <c r="S51" s="52" t="str">
        <f t="shared" si="21"/>
        <v/>
      </c>
      <c r="T51" s="51" t="str">
        <f t="shared" si="22"/>
        <v/>
      </c>
      <c r="U51" s="52" t="str">
        <f t="shared" si="23"/>
        <v/>
      </c>
      <c r="V51" s="51" t="str">
        <f t="shared" si="24"/>
        <v>01/9</v>
      </c>
      <c r="W51" s="52">
        <f t="shared" si="25"/>
        <v>4.32</v>
      </c>
      <c r="X51" s="51" t="str">
        <f t="shared" si="26"/>
        <v/>
      </c>
      <c r="Y51" s="52" t="str">
        <f t="shared" si="27"/>
        <v/>
      </c>
      <c r="Z51" s="51" t="str">
        <f t="shared" si="28"/>
        <v/>
      </c>
      <c r="AA51" s="52" t="str">
        <f t="shared" si="29"/>
        <v/>
      </c>
      <c r="AB51" s="51" t="str">
        <f t="shared" si="30"/>
        <v>01/9</v>
      </c>
      <c r="AC51" s="52">
        <f t="shared" si="31"/>
        <v>4.6500000000000004</v>
      </c>
      <c r="AD51" s="51" t="str">
        <f t="shared" si="32"/>
        <v/>
      </c>
      <c r="AE51" s="52" t="str">
        <f t="shared" si="33"/>
        <v/>
      </c>
      <c r="AF51" s="51" t="str">
        <f t="shared" si="34"/>
        <v/>
      </c>
      <c r="AG51" s="52" t="str">
        <f t="shared" si="35"/>
        <v/>
      </c>
      <c r="AH51" s="63"/>
    </row>
    <row r="52" spans="1:34" x14ac:dyDescent="0.25">
      <c r="A52" s="54">
        <f>IF(C52=0,0,MAX($A$8:A51)+1)</f>
        <v>45</v>
      </c>
      <c r="B52" s="55">
        <f>NSTonghop!E52</f>
        <v>0</v>
      </c>
      <c r="C52" s="55" t="str">
        <f>NSTonghop!F52</f>
        <v>Trịnh Xuân Văn</v>
      </c>
      <c r="D52" s="56" t="s">
        <v>366</v>
      </c>
      <c r="E52" s="57">
        <v>1</v>
      </c>
      <c r="F52" s="57">
        <v>2.34</v>
      </c>
      <c r="G52" s="694" t="str">
        <f>NSTonghop!AL52</f>
        <v>01/09/2007</v>
      </c>
      <c r="H52" s="56" t="s">
        <v>366</v>
      </c>
      <c r="I52" s="57">
        <v>1</v>
      </c>
      <c r="J52" s="59">
        <v>2.34</v>
      </c>
      <c r="K52" s="80" t="s">
        <v>1369</v>
      </c>
      <c r="L52" s="80" t="s">
        <v>1183</v>
      </c>
      <c r="M52" s="57">
        <v>2017</v>
      </c>
      <c r="N52" s="689" t="str">
        <f>NSTonghop!AG52</f>
        <v>V.07.04.11</v>
      </c>
      <c r="O52" s="58" t="s">
        <v>363</v>
      </c>
      <c r="P52" s="57">
        <v>4</v>
      </c>
      <c r="Q52" s="60">
        <v>3.33</v>
      </c>
      <c r="R52" s="51" t="str">
        <f t="shared" si="20"/>
        <v/>
      </c>
      <c r="S52" s="52" t="str">
        <f t="shared" si="21"/>
        <v/>
      </c>
      <c r="T52" s="51" t="str">
        <f t="shared" si="22"/>
        <v/>
      </c>
      <c r="U52" s="52" t="str">
        <f t="shared" si="23"/>
        <v/>
      </c>
      <c r="V52" s="51" t="str">
        <f t="shared" si="24"/>
        <v>01/3</v>
      </c>
      <c r="W52" s="52">
        <f t="shared" si="25"/>
        <v>3.66</v>
      </c>
      <c r="X52" s="51" t="str">
        <f t="shared" si="26"/>
        <v/>
      </c>
      <c r="Y52" s="52" t="str">
        <f t="shared" si="27"/>
        <v/>
      </c>
      <c r="Z52" s="51" t="str">
        <f t="shared" si="28"/>
        <v/>
      </c>
      <c r="AA52" s="52" t="str">
        <f t="shared" si="29"/>
        <v/>
      </c>
      <c r="AB52" s="51" t="str">
        <f t="shared" si="30"/>
        <v>01/3</v>
      </c>
      <c r="AC52" s="52">
        <f t="shared" si="31"/>
        <v>3.99</v>
      </c>
      <c r="AD52" s="51" t="str">
        <f t="shared" si="32"/>
        <v/>
      </c>
      <c r="AE52" s="52" t="str">
        <f t="shared" si="33"/>
        <v/>
      </c>
      <c r="AF52" s="51" t="str">
        <f t="shared" si="34"/>
        <v/>
      </c>
      <c r="AG52" s="52" t="str">
        <f t="shared" si="35"/>
        <v/>
      </c>
      <c r="AH52" s="63"/>
    </row>
    <row r="53" spans="1:34" x14ac:dyDescent="0.25">
      <c r="A53" s="54">
        <f>IF(C53=0,0,MAX($A$8:A52)+1)</f>
        <v>46</v>
      </c>
      <c r="B53" s="55">
        <f>NSTonghop!E53</f>
        <v>0</v>
      </c>
      <c r="C53" s="55" t="str">
        <f>NSTonghop!F53</f>
        <v>Trần Thị Mành</v>
      </c>
      <c r="D53" s="56"/>
      <c r="E53" s="57"/>
      <c r="F53" s="57">
        <v>272</v>
      </c>
      <c r="G53" s="694" t="str">
        <f>NSTonghop!AL53</f>
        <v>15/10/1989</v>
      </c>
      <c r="H53" s="56" t="s">
        <v>366</v>
      </c>
      <c r="I53" s="57">
        <v>5</v>
      </c>
      <c r="J53" s="59">
        <v>3.66</v>
      </c>
      <c r="K53" s="80" t="s">
        <v>767</v>
      </c>
      <c r="L53" s="80" t="s">
        <v>1399</v>
      </c>
      <c r="M53" s="57">
        <v>2015</v>
      </c>
      <c r="N53" s="689" t="str">
        <f>NSTonghop!AG53</f>
        <v>V.07.04.11</v>
      </c>
      <c r="O53" s="58" t="s">
        <v>363</v>
      </c>
      <c r="P53" s="57">
        <v>9</v>
      </c>
      <c r="Q53" s="60">
        <v>4.9800000000000004</v>
      </c>
      <c r="R53" s="77" t="str">
        <f t="shared" si="20"/>
        <v>01/02</v>
      </c>
      <c r="S53" s="78">
        <v>0.05</v>
      </c>
      <c r="T53" s="408"/>
      <c r="U53" s="407"/>
      <c r="V53" s="408"/>
      <c r="W53" s="407"/>
      <c r="X53" s="408"/>
      <c r="Y53" s="407"/>
      <c r="Z53" s="408"/>
      <c r="AA53" s="407"/>
      <c r="AB53" s="408"/>
      <c r="AC53" s="407"/>
      <c r="AD53" s="408"/>
      <c r="AE53" s="407"/>
      <c r="AF53" s="408"/>
      <c r="AG53" s="407"/>
      <c r="AH53" s="683"/>
    </row>
    <row r="54" spans="1:34" x14ac:dyDescent="0.25">
      <c r="A54" s="54">
        <f>IF(C54=0,0,MAX($A$8:A53)+1)</f>
        <v>47</v>
      </c>
      <c r="B54" s="55">
        <f>NSTonghop!E54</f>
        <v>0</v>
      </c>
      <c r="C54" s="55" t="str">
        <f>NSTonghop!F54</f>
        <v>Cao Thị Uyên Thanh</v>
      </c>
      <c r="D54" s="56"/>
      <c r="E54" s="57"/>
      <c r="F54" s="57"/>
      <c r="G54" s="694" t="str">
        <f>NSTonghop!AL54</f>
        <v>01/09/1988</v>
      </c>
      <c r="H54" s="56" t="s">
        <v>366</v>
      </c>
      <c r="I54" s="57"/>
      <c r="J54" s="59"/>
      <c r="K54" s="58"/>
      <c r="L54" s="58"/>
      <c r="M54" s="57"/>
      <c r="N54" s="689" t="str">
        <f>NSTonghop!AG54</f>
        <v>V.07.04.11</v>
      </c>
      <c r="O54" s="58" t="s">
        <v>363</v>
      </c>
      <c r="P54" s="57"/>
      <c r="Q54" s="60"/>
      <c r="R54" s="51" t="str">
        <f t="shared" si="20"/>
        <v/>
      </c>
      <c r="S54" s="52" t="str">
        <f t="shared" si="21"/>
        <v/>
      </c>
      <c r="T54" s="51" t="str">
        <f t="shared" si="22"/>
        <v/>
      </c>
      <c r="U54" s="52" t="str">
        <f t="shared" si="23"/>
        <v/>
      </c>
      <c r="V54" s="51" t="str">
        <f t="shared" si="24"/>
        <v/>
      </c>
      <c r="W54" s="52" t="str">
        <f t="shared" si="25"/>
        <v/>
      </c>
      <c r="X54" s="51" t="str">
        <f t="shared" si="26"/>
        <v/>
      </c>
      <c r="Y54" s="52" t="str">
        <f t="shared" si="27"/>
        <v/>
      </c>
      <c r="Z54" s="51" t="str">
        <f t="shared" si="28"/>
        <v/>
      </c>
      <c r="AA54" s="52" t="str">
        <f t="shared" si="29"/>
        <v/>
      </c>
      <c r="AB54" s="51" t="str">
        <f t="shared" si="30"/>
        <v/>
      </c>
      <c r="AC54" s="52" t="str">
        <f t="shared" si="31"/>
        <v/>
      </c>
      <c r="AD54" s="51" t="str">
        <f t="shared" si="32"/>
        <v/>
      </c>
      <c r="AE54" s="52" t="str">
        <f t="shared" si="33"/>
        <v/>
      </c>
      <c r="AF54" s="51" t="str">
        <f t="shared" si="34"/>
        <v/>
      </c>
      <c r="AG54" s="52" t="str">
        <f t="shared" si="35"/>
        <v/>
      </c>
      <c r="AH54" s="63"/>
    </row>
    <row r="55" spans="1:34" x14ac:dyDescent="0.25">
      <c r="A55" s="54">
        <f>IF(C55=0,0,MAX($A$8:A54)+1)</f>
        <v>48</v>
      </c>
      <c r="B55" s="55">
        <f>NSTonghop!E55</f>
        <v>0</v>
      </c>
      <c r="C55" s="55" t="str">
        <f>NSTonghop!F55</f>
        <v>Lê Thị Hương Trang</v>
      </c>
      <c r="D55" s="56">
        <v>15113</v>
      </c>
      <c r="E55" s="57">
        <v>1</v>
      </c>
      <c r="F55" s="57">
        <v>1.78</v>
      </c>
      <c r="G55" s="694" t="str">
        <f>NSTonghop!AL55</f>
        <v>01/09/2003</v>
      </c>
      <c r="H55" s="56" t="s">
        <v>366</v>
      </c>
      <c r="I55" s="57">
        <v>2</v>
      </c>
      <c r="J55" s="59">
        <v>2.67</v>
      </c>
      <c r="K55" s="80" t="s">
        <v>1370</v>
      </c>
      <c r="L55" s="80" t="s">
        <v>1183</v>
      </c>
      <c r="M55" s="57">
        <v>2016</v>
      </c>
      <c r="N55" s="689" t="str">
        <f>NSTonghop!AG55</f>
        <v>V.07.04.11</v>
      </c>
      <c r="O55" s="58" t="s">
        <v>363</v>
      </c>
      <c r="P55" s="57">
        <v>5</v>
      </c>
      <c r="Q55" s="60">
        <v>3.66</v>
      </c>
      <c r="R55" s="51" t="str">
        <f t="shared" si="20"/>
        <v/>
      </c>
      <c r="S55" s="52" t="str">
        <f t="shared" si="21"/>
        <v/>
      </c>
      <c r="T55" s="51" t="str">
        <f t="shared" si="22"/>
        <v>01/3</v>
      </c>
      <c r="U55" s="52">
        <f t="shared" si="23"/>
        <v>3.99</v>
      </c>
      <c r="V55" s="51" t="str">
        <f t="shared" si="24"/>
        <v/>
      </c>
      <c r="W55" s="52" t="str">
        <f t="shared" si="25"/>
        <v/>
      </c>
      <c r="X55" s="51" t="str">
        <f t="shared" si="26"/>
        <v/>
      </c>
      <c r="Y55" s="52" t="str">
        <f t="shared" si="27"/>
        <v/>
      </c>
      <c r="Z55" s="51" t="str">
        <f t="shared" si="28"/>
        <v>01/3</v>
      </c>
      <c r="AA55" s="52">
        <f t="shared" si="29"/>
        <v>4.32</v>
      </c>
      <c r="AB55" s="51" t="str">
        <f t="shared" si="30"/>
        <v/>
      </c>
      <c r="AC55" s="52" t="str">
        <f t="shared" si="31"/>
        <v/>
      </c>
      <c r="AD55" s="51" t="str">
        <f t="shared" si="32"/>
        <v/>
      </c>
      <c r="AE55" s="52" t="str">
        <f t="shared" si="33"/>
        <v/>
      </c>
      <c r="AF55" s="51" t="str">
        <f t="shared" si="34"/>
        <v>01/3</v>
      </c>
      <c r="AG55" s="52">
        <f t="shared" si="35"/>
        <v>4.6500000000000004</v>
      </c>
      <c r="AH55" s="63"/>
    </row>
    <row r="56" spans="1:34" x14ac:dyDescent="0.25">
      <c r="A56" s="54">
        <f>IF(C56=0,0,MAX($A$8:A55)+1)</f>
        <v>49</v>
      </c>
      <c r="B56" s="55">
        <f>NSTonghop!E56</f>
        <v>0</v>
      </c>
      <c r="C56" s="55" t="str">
        <f>NSTonghop!F56</f>
        <v>Trần Thiện Ý</v>
      </c>
      <c r="D56" s="56" t="s">
        <v>379</v>
      </c>
      <c r="E56" s="57">
        <v>1</v>
      </c>
      <c r="F56" s="57">
        <v>2.1</v>
      </c>
      <c r="G56" s="694" t="str">
        <f>NSTonghop!AL56</f>
        <v>01/09/2009</v>
      </c>
      <c r="H56" s="56" t="s">
        <v>366</v>
      </c>
      <c r="I56" s="57">
        <v>2</v>
      </c>
      <c r="J56" s="59">
        <v>2.67</v>
      </c>
      <c r="K56" s="80" t="s">
        <v>1396</v>
      </c>
      <c r="L56" s="80" t="s">
        <v>1182</v>
      </c>
      <c r="M56" s="57">
        <v>2016</v>
      </c>
      <c r="N56" s="689" t="str">
        <f>NSTonghop!AG56</f>
        <v>V.07.04.11</v>
      </c>
      <c r="O56" s="58" t="s">
        <v>363</v>
      </c>
      <c r="P56" s="57">
        <v>3</v>
      </c>
      <c r="Q56" s="60">
        <v>3</v>
      </c>
      <c r="R56" s="51" t="str">
        <f t="shared" si="20"/>
        <v/>
      </c>
      <c r="S56" s="52" t="str">
        <f t="shared" si="21"/>
        <v/>
      </c>
      <c r="T56" s="51" t="str">
        <f t="shared" si="22"/>
        <v>01/9</v>
      </c>
      <c r="U56" s="52">
        <f t="shared" si="23"/>
        <v>3.33</v>
      </c>
      <c r="V56" s="51" t="str">
        <f t="shared" si="24"/>
        <v/>
      </c>
      <c r="W56" s="52" t="str">
        <f t="shared" si="25"/>
        <v/>
      </c>
      <c r="X56" s="51" t="str">
        <f t="shared" si="26"/>
        <v/>
      </c>
      <c r="Y56" s="52" t="str">
        <f t="shared" si="27"/>
        <v/>
      </c>
      <c r="Z56" s="51" t="str">
        <f t="shared" si="28"/>
        <v>01/9</v>
      </c>
      <c r="AA56" s="52">
        <f t="shared" si="29"/>
        <v>3.66</v>
      </c>
      <c r="AB56" s="51" t="str">
        <f t="shared" si="30"/>
        <v/>
      </c>
      <c r="AC56" s="52" t="str">
        <f t="shared" si="31"/>
        <v/>
      </c>
      <c r="AD56" s="51" t="str">
        <f t="shared" si="32"/>
        <v/>
      </c>
      <c r="AE56" s="52" t="str">
        <f t="shared" si="33"/>
        <v/>
      </c>
      <c r="AF56" s="51" t="str">
        <f t="shared" si="34"/>
        <v>01/9</v>
      </c>
      <c r="AG56" s="52">
        <f t="shared" si="35"/>
        <v>3.99</v>
      </c>
      <c r="AH56" s="63"/>
    </row>
    <row r="57" spans="1:34" x14ac:dyDescent="0.25">
      <c r="A57" s="54">
        <f>IF(C57=0,0,MAX($A$8:A56)+1)</f>
        <v>50</v>
      </c>
      <c r="B57" s="55">
        <f>NSTonghop!E57</f>
        <v>0</v>
      </c>
      <c r="C57" s="55" t="str">
        <f>NSTonghop!F57</f>
        <v>Đoàn Tô Ngọc Hương</v>
      </c>
      <c r="D57" s="56">
        <v>15113</v>
      </c>
      <c r="E57" s="57">
        <v>1</v>
      </c>
      <c r="F57" s="57">
        <v>1.78</v>
      </c>
      <c r="G57" s="694" t="str">
        <f>NSTonghop!AL57</f>
        <v>01/09/2003</v>
      </c>
      <c r="H57" s="56" t="s">
        <v>366</v>
      </c>
      <c r="I57" s="57">
        <v>2</v>
      </c>
      <c r="J57" s="59">
        <v>2.67</v>
      </c>
      <c r="K57" s="80" t="s">
        <v>1370</v>
      </c>
      <c r="L57" s="80" t="s">
        <v>1183</v>
      </c>
      <c r="M57" s="57">
        <v>2016</v>
      </c>
      <c r="N57" s="689" t="str">
        <f>NSTonghop!AG57</f>
        <v>V.07.04.11</v>
      </c>
      <c r="O57" s="58" t="s">
        <v>363</v>
      </c>
      <c r="P57" s="57">
        <v>5</v>
      </c>
      <c r="Q57" s="60">
        <v>3.66</v>
      </c>
      <c r="R57" s="51" t="str">
        <f t="shared" si="20"/>
        <v/>
      </c>
      <c r="S57" s="52" t="str">
        <f t="shared" si="21"/>
        <v/>
      </c>
      <c r="T57" s="51" t="str">
        <f t="shared" si="22"/>
        <v>01/3</v>
      </c>
      <c r="U57" s="52">
        <f t="shared" si="23"/>
        <v>3.99</v>
      </c>
      <c r="V57" s="51" t="str">
        <f t="shared" si="24"/>
        <v/>
      </c>
      <c r="W57" s="52" t="str">
        <f t="shared" si="25"/>
        <v/>
      </c>
      <c r="X57" s="51" t="str">
        <f t="shared" si="26"/>
        <v/>
      </c>
      <c r="Y57" s="52" t="str">
        <f t="shared" si="27"/>
        <v/>
      </c>
      <c r="Z57" s="51" t="str">
        <f t="shared" si="28"/>
        <v>01/3</v>
      </c>
      <c r="AA57" s="52">
        <f t="shared" si="29"/>
        <v>4.32</v>
      </c>
      <c r="AB57" s="51" t="str">
        <f t="shared" si="30"/>
        <v/>
      </c>
      <c r="AC57" s="52" t="str">
        <f t="shared" si="31"/>
        <v/>
      </c>
      <c r="AD57" s="51" t="str">
        <f t="shared" si="32"/>
        <v/>
      </c>
      <c r="AE57" s="52" t="str">
        <f t="shared" si="33"/>
        <v/>
      </c>
      <c r="AF57" s="51" t="str">
        <f t="shared" si="34"/>
        <v>01/3</v>
      </c>
      <c r="AG57" s="52">
        <f t="shared" si="35"/>
        <v>4.6500000000000004</v>
      </c>
      <c r="AH57" s="63"/>
    </row>
    <row r="58" spans="1:34" x14ac:dyDescent="0.25">
      <c r="A58" s="54">
        <f>IF(C58=0,0,MAX($A$8:A57)+1)</f>
        <v>51</v>
      </c>
      <c r="B58" s="55">
        <f>NSTonghop!E58</f>
        <v>0</v>
      </c>
      <c r="C58" s="55" t="str">
        <f>NSTonghop!F58</f>
        <v>Huỳnh Thị Bích Vân</v>
      </c>
      <c r="D58" s="56"/>
      <c r="E58" s="57"/>
      <c r="F58" s="57">
        <v>272</v>
      </c>
      <c r="G58" s="694" t="str">
        <f>NSTonghop!AL58</f>
        <v>01/09/1988</v>
      </c>
      <c r="H58" s="56" t="s">
        <v>366</v>
      </c>
      <c r="I58" s="57">
        <v>5</v>
      </c>
      <c r="J58" s="59">
        <v>3.66</v>
      </c>
      <c r="K58" s="80" t="s">
        <v>767</v>
      </c>
      <c r="L58" s="80" t="s">
        <v>1356</v>
      </c>
      <c r="M58" s="57">
        <v>2014</v>
      </c>
      <c r="N58" s="689" t="str">
        <f>NSTonghop!AG58</f>
        <v>V.07.04.11</v>
      </c>
      <c r="O58" s="58" t="s">
        <v>363</v>
      </c>
      <c r="P58" s="57">
        <v>9</v>
      </c>
      <c r="Q58" s="60">
        <v>4.9800000000000004</v>
      </c>
      <c r="R58" s="702" t="s">
        <v>1356</v>
      </c>
      <c r="S58" s="701">
        <v>0.06</v>
      </c>
      <c r="T58" s="408"/>
      <c r="U58" s="407"/>
      <c r="V58" s="408"/>
      <c r="W58" s="407"/>
      <c r="X58" s="408"/>
      <c r="Y58" s="407"/>
      <c r="Z58" s="408"/>
      <c r="AA58" s="407"/>
      <c r="AB58" s="408"/>
      <c r="AC58" s="407"/>
      <c r="AD58" s="408"/>
      <c r="AE58" s="407"/>
      <c r="AF58" s="408"/>
      <c r="AG58" s="407"/>
      <c r="AH58" s="683"/>
    </row>
    <row r="59" spans="1:34" x14ac:dyDescent="0.25">
      <c r="A59" s="54">
        <f>IF(C59=0,0,MAX($A$8:A58)+1)</f>
        <v>52</v>
      </c>
      <c r="B59" s="55">
        <f>NSTonghop!E59</f>
        <v>0</v>
      </c>
      <c r="C59" s="55" t="str">
        <f>NSTonghop!F59</f>
        <v>Phạm Minh Hiếu</v>
      </c>
      <c r="D59" s="56">
        <v>15113</v>
      </c>
      <c r="E59" s="57">
        <v>1</v>
      </c>
      <c r="F59" s="57">
        <v>1.78</v>
      </c>
      <c r="G59" s="694" t="str">
        <f>NSTonghop!AL59</f>
        <v>01/09/1999</v>
      </c>
      <c r="H59" s="56" t="s">
        <v>366</v>
      </c>
      <c r="I59" s="57">
        <v>4</v>
      </c>
      <c r="J59" s="59">
        <v>3.33</v>
      </c>
      <c r="K59" s="80" t="s">
        <v>1366</v>
      </c>
      <c r="L59" s="80" t="s">
        <v>1367</v>
      </c>
      <c r="M59" s="57">
        <v>2016</v>
      </c>
      <c r="N59" s="689" t="str">
        <f>NSTonghop!AG59</f>
        <v>V.07.04.11</v>
      </c>
      <c r="O59" s="58" t="s">
        <v>363</v>
      </c>
      <c r="P59" s="57">
        <v>7</v>
      </c>
      <c r="Q59" s="60">
        <v>4.32</v>
      </c>
      <c r="R59" s="51" t="str">
        <f t="shared" si="20"/>
        <v/>
      </c>
      <c r="S59" s="52" t="str">
        <f t="shared" si="21"/>
        <v/>
      </c>
      <c r="T59" s="51" t="str">
        <f t="shared" si="22"/>
        <v>01/7</v>
      </c>
      <c r="U59" s="52">
        <f t="shared" si="23"/>
        <v>4.6500000000000004</v>
      </c>
      <c r="V59" s="51" t="str">
        <f t="shared" si="24"/>
        <v/>
      </c>
      <c r="W59" s="52" t="str">
        <f t="shared" si="25"/>
        <v/>
      </c>
      <c r="X59" s="51" t="str">
        <f t="shared" si="26"/>
        <v/>
      </c>
      <c r="Y59" s="52" t="str">
        <f t="shared" si="27"/>
        <v/>
      </c>
      <c r="Z59" s="51" t="str">
        <f t="shared" si="28"/>
        <v>01/7</v>
      </c>
      <c r="AA59" s="52">
        <f t="shared" si="29"/>
        <v>4.9800000000000004</v>
      </c>
      <c r="AB59" s="51" t="str">
        <f t="shared" si="30"/>
        <v/>
      </c>
      <c r="AC59" s="52" t="str">
        <f t="shared" si="31"/>
        <v/>
      </c>
      <c r="AD59" s="51" t="str">
        <f t="shared" si="32"/>
        <v/>
      </c>
      <c r="AE59" s="52" t="str">
        <f t="shared" si="33"/>
        <v/>
      </c>
      <c r="AF59" s="51" t="str">
        <f t="shared" si="34"/>
        <v>01/7</v>
      </c>
      <c r="AG59" s="52">
        <f t="shared" si="35"/>
        <v>5.3100000000000005</v>
      </c>
      <c r="AH59" s="63"/>
    </row>
    <row r="60" spans="1:34" x14ac:dyDescent="0.25">
      <c r="A60" s="54">
        <f>IF(C60=0,0,MAX($A$8:A59)+1)</f>
        <v>53</v>
      </c>
      <c r="B60" s="55" t="str">
        <f>NSTonghop!E60</f>
        <v>Chuyển Cái Dầu 1/19</v>
      </c>
      <c r="C60" s="55" t="str">
        <f>NSTonghop!F60</f>
        <v>Phạm Thị Hồng</v>
      </c>
      <c r="D60" s="56"/>
      <c r="E60" s="57"/>
      <c r="F60" s="57"/>
      <c r="G60" s="694" t="str">
        <f>NSTonghop!AL60</f>
        <v>01/09/1988</v>
      </c>
      <c r="H60" s="56" t="s">
        <v>366</v>
      </c>
      <c r="I60" s="57"/>
      <c r="J60" s="59"/>
      <c r="K60" s="58"/>
      <c r="L60" s="58"/>
      <c r="M60" s="57"/>
      <c r="N60" s="689" t="str">
        <f>NSTonghop!AG60</f>
        <v>V.07.04.11</v>
      </c>
      <c r="O60" s="58" t="s">
        <v>363</v>
      </c>
      <c r="P60" s="57"/>
      <c r="Q60" s="60"/>
      <c r="R60" s="51" t="str">
        <f t="shared" si="20"/>
        <v/>
      </c>
      <c r="S60" s="52" t="str">
        <f t="shared" si="21"/>
        <v/>
      </c>
      <c r="T60" s="51" t="str">
        <f t="shared" si="22"/>
        <v/>
      </c>
      <c r="U60" s="52" t="str">
        <f t="shared" si="23"/>
        <v/>
      </c>
      <c r="V60" s="51" t="str">
        <f t="shared" si="24"/>
        <v/>
      </c>
      <c r="W60" s="52" t="str">
        <f t="shared" si="25"/>
        <v/>
      </c>
      <c r="X60" s="51" t="str">
        <f t="shared" si="26"/>
        <v/>
      </c>
      <c r="Y60" s="52" t="str">
        <f t="shared" si="27"/>
        <v/>
      </c>
      <c r="Z60" s="51" t="str">
        <f t="shared" si="28"/>
        <v/>
      </c>
      <c r="AA60" s="52" t="str">
        <f t="shared" si="29"/>
        <v/>
      </c>
      <c r="AB60" s="51" t="str">
        <f t="shared" si="30"/>
        <v/>
      </c>
      <c r="AC60" s="52" t="str">
        <f t="shared" si="31"/>
        <v/>
      </c>
      <c r="AD60" s="51" t="str">
        <f t="shared" si="32"/>
        <v/>
      </c>
      <c r="AE60" s="52" t="str">
        <f t="shared" si="33"/>
        <v/>
      </c>
      <c r="AF60" s="51" t="str">
        <f t="shared" si="34"/>
        <v/>
      </c>
      <c r="AG60" s="52" t="str">
        <f t="shared" si="35"/>
        <v/>
      </c>
      <c r="AH60" s="63"/>
    </row>
    <row r="61" spans="1:34" x14ac:dyDescent="0.25">
      <c r="A61" s="54">
        <f>IF(C61=0,0,MAX($A$8:A60)+1)</f>
        <v>54</v>
      </c>
      <c r="B61" s="55">
        <f>NSTonghop!E61</f>
        <v>0</v>
      </c>
      <c r="C61" s="55" t="str">
        <f>NSTonghop!F61</f>
        <v>Nguyễn Thị Hồng Gấm</v>
      </c>
      <c r="D61" s="56"/>
      <c r="E61" s="57"/>
      <c r="F61" s="57"/>
      <c r="G61" s="694">
        <f>NSTonghop!AL61</f>
        <v>0</v>
      </c>
      <c r="H61" s="56"/>
      <c r="I61" s="57"/>
      <c r="J61" s="59"/>
      <c r="K61" s="58"/>
      <c r="L61" s="58"/>
      <c r="M61" s="57"/>
      <c r="N61" s="689" t="str">
        <f>NSTonghop!AG61</f>
        <v>V.07.04.11</v>
      </c>
      <c r="O61" s="58" t="s">
        <v>363</v>
      </c>
      <c r="P61" s="57"/>
      <c r="Q61" s="60"/>
      <c r="R61" s="51" t="str">
        <f t="shared" si="20"/>
        <v/>
      </c>
      <c r="S61" s="52" t="str">
        <f t="shared" si="21"/>
        <v/>
      </c>
      <c r="T61" s="51" t="str">
        <f t="shared" si="22"/>
        <v/>
      </c>
      <c r="U61" s="52" t="str">
        <f t="shared" si="23"/>
        <v/>
      </c>
      <c r="V61" s="51" t="str">
        <f t="shared" si="24"/>
        <v/>
      </c>
      <c r="W61" s="52" t="str">
        <f t="shared" si="25"/>
        <v/>
      </c>
      <c r="X61" s="51" t="str">
        <f t="shared" si="26"/>
        <v/>
      </c>
      <c r="Y61" s="52" t="str">
        <f t="shared" si="27"/>
        <v/>
      </c>
      <c r="Z61" s="51" t="str">
        <f t="shared" si="28"/>
        <v/>
      </c>
      <c r="AA61" s="52" t="str">
        <f t="shared" si="29"/>
        <v/>
      </c>
      <c r="AB61" s="51" t="str">
        <f t="shared" si="30"/>
        <v/>
      </c>
      <c r="AC61" s="52" t="str">
        <f t="shared" si="31"/>
        <v/>
      </c>
      <c r="AD61" s="51" t="str">
        <f t="shared" si="32"/>
        <v/>
      </c>
      <c r="AE61" s="52" t="str">
        <f t="shared" si="33"/>
        <v/>
      </c>
      <c r="AF61" s="51" t="str">
        <f t="shared" si="34"/>
        <v/>
      </c>
      <c r="AG61" s="52" t="str">
        <f t="shared" si="35"/>
        <v/>
      </c>
      <c r="AH61" s="62"/>
    </row>
    <row r="62" spans="1:34" x14ac:dyDescent="0.25">
      <c r="A62" s="54">
        <f>IF(C62=0,0,MAX($A$8:A61)+1)</f>
        <v>55</v>
      </c>
      <c r="B62" s="55">
        <f>NSTonghop!E62</f>
        <v>0</v>
      </c>
      <c r="C62" s="55" t="str">
        <f>NSTonghop!F62</f>
        <v>Trần Thị Ngọc Hiền</v>
      </c>
      <c r="D62" s="56"/>
      <c r="E62" s="57"/>
      <c r="F62" s="57"/>
      <c r="G62" s="694" t="str">
        <f>NSTonghop!AL62</f>
        <v>01/09/2012</v>
      </c>
      <c r="H62" s="56" t="s">
        <v>366</v>
      </c>
      <c r="I62" s="57"/>
      <c r="J62" s="59"/>
      <c r="K62" s="58"/>
      <c r="L62" s="58"/>
      <c r="M62" s="57"/>
      <c r="N62" s="689" t="str">
        <f>NSTonghop!AG62</f>
        <v>V.07.04.11</v>
      </c>
      <c r="O62" s="58" t="s">
        <v>363</v>
      </c>
      <c r="P62" s="57"/>
      <c r="Q62" s="60"/>
      <c r="R62" s="51" t="str">
        <f t="shared" si="20"/>
        <v/>
      </c>
      <c r="S62" s="52" t="str">
        <f t="shared" si="21"/>
        <v/>
      </c>
      <c r="T62" s="51" t="str">
        <f t="shared" si="22"/>
        <v/>
      </c>
      <c r="U62" s="52" t="str">
        <f t="shared" si="23"/>
        <v/>
      </c>
      <c r="V62" s="51" t="str">
        <f t="shared" si="24"/>
        <v/>
      </c>
      <c r="W62" s="52" t="str">
        <f t="shared" si="25"/>
        <v/>
      </c>
      <c r="X62" s="51" t="str">
        <f t="shared" si="26"/>
        <v/>
      </c>
      <c r="Y62" s="52" t="str">
        <f t="shared" si="27"/>
        <v/>
      </c>
      <c r="Z62" s="51" t="str">
        <f t="shared" si="28"/>
        <v/>
      </c>
      <c r="AA62" s="52" t="str">
        <f t="shared" si="29"/>
        <v/>
      </c>
      <c r="AB62" s="51" t="str">
        <f t="shared" si="30"/>
        <v/>
      </c>
      <c r="AC62" s="52" t="str">
        <f t="shared" si="31"/>
        <v/>
      </c>
      <c r="AD62" s="51" t="str">
        <f t="shared" si="32"/>
        <v/>
      </c>
      <c r="AE62" s="52" t="str">
        <f t="shared" si="33"/>
        <v/>
      </c>
      <c r="AF62" s="51" t="str">
        <f t="shared" si="34"/>
        <v/>
      </c>
      <c r="AG62" s="52" t="str">
        <f t="shared" si="35"/>
        <v/>
      </c>
      <c r="AH62" s="62"/>
    </row>
    <row r="63" spans="1:34" x14ac:dyDescent="0.25">
      <c r="A63" s="54">
        <f>IF(C63=0,0,MAX($A$8:A62)+1)</f>
        <v>56</v>
      </c>
      <c r="B63" s="55" t="str">
        <f>NSTonghop!E63</f>
        <v>Chuyển Mỹ Đức 7/18</v>
      </c>
      <c r="C63" s="55" t="str">
        <f>NSTonghop!F63</f>
        <v>Lê Văn Có</v>
      </c>
      <c r="D63" s="56"/>
      <c r="E63" s="57"/>
      <c r="F63" s="57"/>
      <c r="G63" s="694" t="str">
        <f>NSTonghop!AL63</f>
        <v>01/09/2009</v>
      </c>
      <c r="H63" s="56"/>
      <c r="I63" s="57"/>
      <c r="J63" s="59"/>
      <c r="K63" s="58"/>
      <c r="L63" s="58"/>
      <c r="M63" s="57"/>
      <c r="N63" s="689" t="str">
        <f>NSTonghop!AG63</f>
        <v>V.07.04.11</v>
      </c>
      <c r="O63" s="58" t="s">
        <v>363</v>
      </c>
      <c r="P63" s="57"/>
      <c r="Q63" s="60"/>
      <c r="R63" s="51" t="str">
        <f t="shared" si="20"/>
        <v/>
      </c>
      <c r="S63" s="52" t="str">
        <f t="shared" si="21"/>
        <v/>
      </c>
      <c r="T63" s="51" t="str">
        <f t="shared" si="22"/>
        <v/>
      </c>
      <c r="U63" s="52" t="str">
        <f t="shared" si="23"/>
        <v/>
      </c>
      <c r="V63" s="51" t="str">
        <f t="shared" si="24"/>
        <v/>
      </c>
      <c r="W63" s="52" t="str">
        <f t="shared" si="25"/>
        <v/>
      </c>
      <c r="X63" s="51" t="str">
        <f t="shared" si="26"/>
        <v/>
      </c>
      <c r="Y63" s="52" t="str">
        <f t="shared" si="27"/>
        <v/>
      </c>
      <c r="Z63" s="51" t="str">
        <f t="shared" si="28"/>
        <v/>
      </c>
      <c r="AA63" s="52" t="str">
        <f t="shared" si="29"/>
        <v/>
      </c>
      <c r="AB63" s="51" t="str">
        <f t="shared" si="30"/>
        <v/>
      </c>
      <c r="AC63" s="52" t="str">
        <f t="shared" si="31"/>
        <v/>
      </c>
      <c r="AD63" s="51" t="str">
        <f t="shared" si="32"/>
        <v/>
      </c>
      <c r="AE63" s="52" t="str">
        <f t="shared" si="33"/>
        <v/>
      </c>
      <c r="AF63" s="51" t="str">
        <f t="shared" si="34"/>
        <v/>
      </c>
      <c r="AG63" s="52" t="str">
        <f t="shared" si="35"/>
        <v/>
      </c>
      <c r="AH63" s="62"/>
    </row>
    <row r="64" spans="1:34" x14ac:dyDescent="0.25">
      <c r="A64" s="54">
        <f>IF(C64=0,0,MAX($A$8:A63)+1)</f>
        <v>57</v>
      </c>
      <c r="B64" s="55">
        <f>NSTonghop!E64</f>
        <v>0</v>
      </c>
      <c r="C64" s="55" t="str">
        <f>NSTonghop!F64</f>
        <v>Lê Văn Thân</v>
      </c>
      <c r="D64" s="56"/>
      <c r="E64" s="57"/>
      <c r="F64" s="57"/>
      <c r="G64" s="694" t="str">
        <f>NSTonghop!AL64</f>
        <v>01/09/2013</v>
      </c>
      <c r="H64" s="56"/>
      <c r="I64" s="57"/>
      <c r="J64" s="59"/>
      <c r="K64" s="58"/>
      <c r="L64" s="58"/>
      <c r="M64" s="57"/>
      <c r="N64" s="691" t="str">
        <f>NSTonghop!AG64</f>
        <v>V.07.04.12</v>
      </c>
      <c r="O64" s="74" t="s">
        <v>575</v>
      </c>
      <c r="P64" s="57"/>
      <c r="Q64" s="60"/>
      <c r="R64" s="51" t="str">
        <f t="shared" si="20"/>
        <v/>
      </c>
      <c r="S64" s="52" t="str">
        <f t="shared" si="21"/>
        <v/>
      </c>
      <c r="T64" s="51" t="str">
        <f t="shared" si="22"/>
        <v/>
      </c>
      <c r="U64" s="52" t="str">
        <f t="shared" si="23"/>
        <v/>
      </c>
      <c r="V64" s="51" t="str">
        <f t="shared" si="24"/>
        <v/>
      </c>
      <c r="W64" s="52" t="str">
        <f t="shared" si="25"/>
        <v/>
      </c>
      <c r="X64" s="51" t="str">
        <f t="shared" si="26"/>
        <v/>
      </c>
      <c r="Y64" s="52" t="str">
        <f t="shared" si="27"/>
        <v/>
      </c>
      <c r="Z64" s="51" t="str">
        <f t="shared" si="28"/>
        <v/>
      </c>
      <c r="AA64" s="52" t="str">
        <f t="shared" si="29"/>
        <v/>
      </c>
      <c r="AB64" s="51" t="str">
        <f t="shared" si="30"/>
        <v/>
      </c>
      <c r="AC64" s="52" t="str">
        <f t="shared" si="31"/>
        <v/>
      </c>
      <c r="AD64" s="51" t="str">
        <f t="shared" si="32"/>
        <v/>
      </c>
      <c r="AE64" s="52" t="str">
        <f t="shared" si="33"/>
        <v/>
      </c>
      <c r="AF64" s="51" t="str">
        <f t="shared" si="34"/>
        <v/>
      </c>
      <c r="AG64" s="52" t="str">
        <f t="shared" si="35"/>
        <v/>
      </c>
      <c r="AH64" s="62"/>
    </row>
    <row r="65" spans="1:34" x14ac:dyDescent="0.25">
      <c r="A65" s="54">
        <f>IF(C65=0,0,MAX($A$8:A64)+1)</f>
        <v>58</v>
      </c>
      <c r="B65" s="55" t="str">
        <f>NSTonghop!E65</f>
        <v>Chuyển Khánh Bình 7/18</v>
      </c>
      <c r="C65" s="55" t="str">
        <f>NSTonghop!F65</f>
        <v>Nguyễn Thị Kim Út</v>
      </c>
      <c r="D65" s="56"/>
      <c r="E65" s="57"/>
      <c r="F65" s="57"/>
      <c r="G65" s="694" t="str">
        <f>NSTonghop!AL65</f>
        <v>01/09/2013</v>
      </c>
      <c r="H65" s="56"/>
      <c r="I65" s="57"/>
      <c r="J65" s="59"/>
      <c r="K65" s="58"/>
      <c r="L65" s="58"/>
      <c r="M65" s="57"/>
      <c r="N65" s="689">
        <f>NSTonghop!AG65</f>
        <v>0</v>
      </c>
      <c r="O65" s="74" t="s">
        <v>575</v>
      </c>
      <c r="P65" s="57"/>
      <c r="Q65" s="60"/>
      <c r="R65" s="51" t="str">
        <f t="shared" si="20"/>
        <v/>
      </c>
      <c r="S65" s="52" t="str">
        <f t="shared" si="21"/>
        <v/>
      </c>
      <c r="T65" s="51" t="str">
        <f t="shared" si="22"/>
        <v/>
      </c>
      <c r="U65" s="52" t="str">
        <f t="shared" si="23"/>
        <v/>
      </c>
      <c r="V65" s="51" t="str">
        <f t="shared" si="24"/>
        <v/>
      </c>
      <c r="W65" s="52" t="str">
        <f t="shared" si="25"/>
        <v/>
      </c>
      <c r="X65" s="51" t="str">
        <f t="shared" si="26"/>
        <v/>
      </c>
      <c r="Y65" s="52" t="str">
        <f t="shared" si="27"/>
        <v/>
      </c>
      <c r="Z65" s="51" t="str">
        <f t="shared" si="28"/>
        <v/>
      </c>
      <c r="AA65" s="52" t="str">
        <f t="shared" si="29"/>
        <v/>
      </c>
      <c r="AB65" s="51" t="str">
        <f t="shared" si="30"/>
        <v/>
      </c>
      <c r="AC65" s="52" t="str">
        <f t="shared" si="31"/>
        <v/>
      </c>
      <c r="AD65" s="51" t="str">
        <f t="shared" si="32"/>
        <v/>
      </c>
      <c r="AE65" s="52" t="str">
        <f t="shared" si="33"/>
        <v/>
      </c>
      <c r="AF65" s="51" t="str">
        <f t="shared" si="34"/>
        <v/>
      </c>
      <c r="AG65" s="52" t="str">
        <f t="shared" si="35"/>
        <v/>
      </c>
      <c r="AH65" s="62"/>
    </row>
    <row r="66" spans="1:34" x14ac:dyDescent="0.25">
      <c r="A66" s="54">
        <f>IF(C66=0,0,MAX($A$8:A65)+1)</f>
        <v>59</v>
      </c>
      <c r="B66" s="55" t="str">
        <f>NSTonghop!E66</f>
        <v>Chuyển Mỹ Đức 7/19</v>
      </c>
      <c r="C66" s="55" t="str">
        <f>NSTonghop!F66</f>
        <v>Lê An Bình</v>
      </c>
      <c r="D66" s="56"/>
      <c r="E66" s="57"/>
      <c r="F66" s="57"/>
      <c r="G66" s="694" t="str">
        <f>NSTonghop!AL66</f>
        <v>01/9/2011</v>
      </c>
      <c r="H66" s="56"/>
      <c r="I66" s="57"/>
      <c r="J66" s="59"/>
      <c r="K66" s="58"/>
      <c r="L66" s="58"/>
      <c r="M66" s="57"/>
      <c r="N66" s="689" t="str">
        <f>NSTonghop!AG66</f>
        <v>V.07.04.11</v>
      </c>
      <c r="O66" s="58" t="s">
        <v>363</v>
      </c>
      <c r="P66" s="57"/>
      <c r="Q66" s="60"/>
      <c r="R66" s="51" t="str">
        <f t="shared" si="20"/>
        <v/>
      </c>
      <c r="S66" s="52" t="str">
        <f t="shared" si="21"/>
        <v/>
      </c>
      <c r="T66" s="51" t="str">
        <f t="shared" si="22"/>
        <v/>
      </c>
      <c r="U66" s="52" t="str">
        <f t="shared" si="23"/>
        <v/>
      </c>
      <c r="V66" s="51" t="str">
        <f t="shared" si="24"/>
        <v/>
      </c>
      <c r="W66" s="52" t="str">
        <f t="shared" si="25"/>
        <v/>
      </c>
      <c r="X66" s="51" t="str">
        <f t="shared" si="26"/>
        <v/>
      </c>
      <c r="Y66" s="52" t="str">
        <f t="shared" si="27"/>
        <v/>
      </c>
      <c r="Z66" s="51" t="str">
        <f t="shared" si="28"/>
        <v/>
      </c>
      <c r="AA66" s="52" t="str">
        <f t="shared" si="29"/>
        <v/>
      </c>
      <c r="AB66" s="51" t="str">
        <f t="shared" si="30"/>
        <v/>
      </c>
      <c r="AC66" s="52" t="str">
        <f t="shared" si="31"/>
        <v/>
      </c>
      <c r="AD66" s="51" t="str">
        <f t="shared" si="32"/>
        <v/>
      </c>
      <c r="AE66" s="52" t="str">
        <f t="shared" si="33"/>
        <v/>
      </c>
      <c r="AF66" s="51" t="str">
        <f t="shared" si="34"/>
        <v/>
      </c>
      <c r="AG66" s="52" t="str">
        <f t="shared" si="35"/>
        <v/>
      </c>
      <c r="AH66" s="62"/>
    </row>
    <row r="67" spans="1:34" x14ac:dyDescent="0.25">
      <c r="A67" s="54">
        <f>IF(C67=0,0,MAX($A$8:A66)+1)</f>
        <v>60</v>
      </c>
      <c r="B67" s="55">
        <f>NSTonghop!E67</f>
        <v>0</v>
      </c>
      <c r="C67" s="55" t="str">
        <f>NSTonghop!F67</f>
        <v>Châu Trần Tân Quốc</v>
      </c>
      <c r="D67" s="56"/>
      <c r="E67" s="57"/>
      <c r="F67" s="57"/>
      <c r="G67" s="694" t="str">
        <f>NSTonghop!AL67</f>
        <v>01/09/2004</v>
      </c>
      <c r="H67" s="56" t="s">
        <v>366</v>
      </c>
      <c r="I67" s="57"/>
      <c r="J67" s="59"/>
      <c r="K67" s="58"/>
      <c r="L67" s="58"/>
      <c r="M67" s="57"/>
      <c r="N67" s="689" t="str">
        <f>NSTonghop!AG67</f>
        <v>V.07.04.11</v>
      </c>
      <c r="O67" s="58" t="s">
        <v>363</v>
      </c>
      <c r="P67" s="57"/>
      <c r="Q67" s="60"/>
      <c r="R67" s="51" t="str">
        <f t="shared" si="20"/>
        <v/>
      </c>
      <c r="S67" s="52" t="str">
        <f t="shared" si="21"/>
        <v/>
      </c>
      <c r="T67" s="51" t="str">
        <f t="shared" si="22"/>
        <v/>
      </c>
      <c r="U67" s="52" t="str">
        <f t="shared" si="23"/>
        <v/>
      </c>
      <c r="V67" s="51" t="str">
        <f t="shared" si="24"/>
        <v/>
      </c>
      <c r="W67" s="52" t="str">
        <f t="shared" si="25"/>
        <v/>
      </c>
      <c r="X67" s="51" t="str">
        <f t="shared" si="26"/>
        <v/>
      </c>
      <c r="Y67" s="52" t="str">
        <f t="shared" si="27"/>
        <v/>
      </c>
      <c r="Z67" s="51" t="str">
        <f t="shared" si="28"/>
        <v/>
      </c>
      <c r="AA67" s="52" t="str">
        <f t="shared" si="29"/>
        <v/>
      </c>
      <c r="AB67" s="51" t="str">
        <f t="shared" si="30"/>
        <v/>
      </c>
      <c r="AC67" s="52" t="str">
        <f t="shared" si="31"/>
        <v/>
      </c>
      <c r="AD67" s="51" t="str">
        <f t="shared" si="32"/>
        <v/>
      </c>
      <c r="AE67" s="52" t="str">
        <f t="shared" si="33"/>
        <v/>
      </c>
      <c r="AF67" s="51" t="str">
        <f t="shared" si="34"/>
        <v/>
      </c>
      <c r="AG67" s="52" t="str">
        <f t="shared" si="35"/>
        <v/>
      </c>
      <c r="AH67" s="62"/>
    </row>
    <row r="68" spans="1:34" x14ac:dyDescent="0.25">
      <c r="A68" s="54">
        <f>IF(C68=0,0,MAX($A$8:A67)+1)</f>
        <v>61</v>
      </c>
      <c r="B68" s="55">
        <f>NSTonghop!E68</f>
        <v>0</v>
      </c>
      <c r="C68" s="55" t="str">
        <f>NSTonghop!F68</f>
        <v>Nguyễn Thanh Hiệp</v>
      </c>
      <c r="D68" s="56"/>
      <c r="E68" s="57"/>
      <c r="F68" s="57"/>
      <c r="G68" s="694" t="str">
        <f>NSTonghop!AL68</f>
        <v>01/09/2009</v>
      </c>
      <c r="H68" s="56"/>
      <c r="I68" s="57"/>
      <c r="J68" s="59"/>
      <c r="K68" s="58"/>
      <c r="L68" s="58"/>
      <c r="M68" s="57"/>
      <c r="N68" s="691" t="str">
        <f>NSTonghop!AG68</f>
        <v>V.07.04.12</v>
      </c>
      <c r="O68" s="74" t="s">
        <v>575</v>
      </c>
      <c r="P68" s="57"/>
      <c r="Q68" s="60"/>
      <c r="R68" s="51" t="str">
        <f t="shared" si="20"/>
        <v/>
      </c>
      <c r="S68" s="52" t="str">
        <f t="shared" si="21"/>
        <v/>
      </c>
      <c r="T68" s="51" t="str">
        <f t="shared" si="22"/>
        <v/>
      </c>
      <c r="U68" s="52" t="str">
        <f t="shared" si="23"/>
        <v/>
      </c>
      <c r="V68" s="51" t="str">
        <f t="shared" si="24"/>
        <v/>
      </c>
      <c r="W68" s="52" t="str">
        <f t="shared" si="25"/>
        <v/>
      </c>
      <c r="X68" s="51" t="str">
        <f t="shared" si="26"/>
        <v/>
      </c>
      <c r="Y68" s="52" t="str">
        <f t="shared" si="27"/>
        <v/>
      </c>
      <c r="Z68" s="51" t="str">
        <f t="shared" si="28"/>
        <v/>
      </c>
      <c r="AA68" s="52" t="str">
        <f t="shared" si="29"/>
        <v/>
      </c>
      <c r="AB68" s="51" t="str">
        <f t="shared" si="30"/>
        <v/>
      </c>
      <c r="AC68" s="52" t="str">
        <f t="shared" si="31"/>
        <v/>
      </c>
      <c r="AD68" s="51" t="str">
        <f t="shared" si="32"/>
        <v/>
      </c>
      <c r="AE68" s="52" t="str">
        <f t="shared" si="33"/>
        <v/>
      </c>
      <c r="AF68" s="51" t="str">
        <f t="shared" si="34"/>
        <v/>
      </c>
      <c r="AG68" s="52" t="str">
        <f t="shared" si="35"/>
        <v/>
      </c>
      <c r="AH68" s="63"/>
    </row>
    <row r="69" spans="1:34" x14ac:dyDescent="0.25">
      <c r="A69" s="54">
        <f>IF(C69=0,0,MAX($A$8:A68)+1)</f>
        <v>62</v>
      </c>
      <c r="B69" s="55">
        <f>NSTonghop!E69</f>
        <v>0</v>
      </c>
      <c r="C69" s="55" t="str">
        <f>NSTonghop!F69</f>
        <v>Nguyễn Thanh Tùng</v>
      </c>
      <c r="D69" s="56"/>
      <c r="E69" s="57"/>
      <c r="F69" s="57"/>
      <c r="G69" s="694" t="str">
        <f>NSTonghop!AL69</f>
        <v>01/09/2006</v>
      </c>
      <c r="H69" s="56" t="s">
        <v>366</v>
      </c>
      <c r="I69" s="57"/>
      <c r="J69" s="59"/>
      <c r="K69" s="58"/>
      <c r="L69" s="58"/>
      <c r="M69" s="57"/>
      <c r="N69" s="689" t="str">
        <f>NSTonghop!AG69</f>
        <v>V.07.04.11</v>
      </c>
      <c r="O69" s="58" t="s">
        <v>363</v>
      </c>
      <c r="P69" s="57"/>
      <c r="Q69" s="60"/>
      <c r="R69" s="51" t="str">
        <f t="shared" si="20"/>
        <v/>
      </c>
      <c r="S69" s="52" t="str">
        <f t="shared" si="21"/>
        <v/>
      </c>
      <c r="T69" s="51" t="str">
        <f t="shared" si="22"/>
        <v/>
      </c>
      <c r="U69" s="52" t="str">
        <f t="shared" si="23"/>
        <v/>
      </c>
      <c r="V69" s="51" t="str">
        <f t="shared" si="24"/>
        <v/>
      </c>
      <c r="W69" s="52" t="str">
        <f t="shared" si="25"/>
        <v/>
      </c>
      <c r="X69" s="51" t="str">
        <f t="shared" si="26"/>
        <v/>
      </c>
      <c r="Y69" s="52" t="str">
        <f t="shared" si="27"/>
        <v/>
      </c>
      <c r="Z69" s="51" t="str">
        <f t="shared" si="28"/>
        <v/>
      </c>
      <c r="AA69" s="52" t="str">
        <f t="shared" si="29"/>
        <v/>
      </c>
      <c r="AB69" s="51" t="str">
        <f t="shared" si="30"/>
        <v/>
      </c>
      <c r="AC69" s="52" t="str">
        <f t="shared" si="31"/>
        <v/>
      </c>
      <c r="AD69" s="51" t="str">
        <f t="shared" si="32"/>
        <v/>
      </c>
      <c r="AE69" s="52" t="str">
        <f t="shared" si="33"/>
        <v/>
      </c>
      <c r="AF69" s="51" t="str">
        <f t="shared" si="34"/>
        <v/>
      </c>
      <c r="AG69" s="52" t="str">
        <f t="shared" si="35"/>
        <v/>
      </c>
      <c r="AH69" s="63"/>
    </row>
    <row r="70" spans="1:34" x14ac:dyDescent="0.25">
      <c r="A70" s="54">
        <f>IF(C70=0,0,MAX($A$8:A69)+1)</f>
        <v>63</v>
      </c>
      <c r="B70" s="55">
        <f>NSTonghop!E70</f>
        <v>0</v>
      </c>
      <c r="C70" s="55" t="str">
        <f>NSTonghop!F70</f>
        <v>Cao Thanh Phong</v>
      </c>
      <c r="D70" s="56"/>
      <c r="E70" s="57"/>
      <c r="F70" s="57"/>
      <c r="G70" s="694" t="str">
        <f>NSTonghop!AL70</f>
        <v>01/05/2000</v>
      </c>
      <c r="H70" s="56" t="s">
        <v>366</v>
      </c>
      <c r="I70" s="57"/>
      <c r="J70" s="59"/>
      <c r="K70" s="58"/>
      <c r="L70" s="58"/>
      <c r="M70" s="57"/>
      <c r="N70" s="689" t="str">
        <f>NSTonghop!AG70</f>
        <v>V.07.04.11</v>
      </c>
      <c r="O70" s="58" t="s">
        <v>363</v>
      </c>
      <c r="P70" s="57"/>
      <c r="Q70" s="60"/>
      <c r="R70" s="51" t="str">
        <f t="shared" si="20"/>
        <v/>
      </c>
      <c r="S70" s="52" t="str">
        <f t="shared" si="21"/>
        <v/>
      </c>
      <c r="T70" s="51" t="str">
        <f t="shared" si="22"/>
        <v/>
      </c>
      <c r="U70" s="52" t="str">
        <f t="shared" si="23"/>
        <v/>
      </c>
      <c r="V70" s="51" t="str">
        <f t="shared" si="24"/>
        <v/>
      </c>
      <c r="W70" s="52" t="str">
        <f t="shared" si="25"/>
        <v/>
      </c>
      <c r="X70" s="51" t="str">
        <f t="shared" si="26"/>
        <v/>
      </c>
      <c r="Y70" s="52" t="str">
        <f t="shared" si="27"/>
        <v/>
      </c>
      <c r="Z70" s="51" t="str">
        <f t="shared" si="28"/>
        <v/>
      </c>
      <c r="AA70" s="52" t="str">
        <f t="shared" si="29"/>
        <v/>
      </c>
      <c r="AB70" s="51" t="str">
        <f t="shared" si="30"/>
        <v/>
      </c>
      <c r="AC70" s="52" t="str">
        <f t="shared" si="31"/>
        <v/>
      </c>
      <c r="AD70" s="51" t="str">
        <f t="shared" si="32"/>
        <v/>
      </c>
      <c r="AE70" s="52" t="str">
        <f t="shared" si="33"/>
        <v/>
      </c>
      <c r="AF70" s="51" t="str">
        <f t="shared" si="34"/>
        <v/>
      </c>
      <c r="AG70" s="52" t="str">
        <f t="shared" si="35"/>
        <v/>
      </c>
      <c r="AH70" s="63"/>
    </row>
    <row r="71" spans="1:34" x14ac:dyDescent="0.25">
      <c r="A71" s="54">
        <f>IF(C71=0,0,MAX($A$8:A70)+1)</f>
        <v>64</v>
      </c>
      <c r="B71" s="55">
        <f>NSTonghop!E71</f>
        <v>0</v>
      </c>
      <c r="C71" s="55" t="str">
        <f>NSTonghop!F71</f>
        <v>Bùi Thị Huỳnh Hương</v>
      </c>
      <c r="D71" s="56">
        <v>15113</v>
      </c>
      <c r="E71" s="57">
        <v>1</v>
      </c>
      <c r="F71" s="57">
        <v>1.78</v>
      </c>
      <c r="G71" s="694" t="str">
        <f>NSTonghop!AL71</f>
        <v>01/09/1999</v>
      </c>
      <c r="H71" s="56" t="s">
        <v>366</v>
      </c>
      <c r="I71" s="57">
        <v>3</v>
      </c>
      <c r="J71" s="59">
        <v>3</v>
      </c>
      <c r="K71" s="80" t="s">
        <v>1369</v>
      </c>
      <c r="L71" s="80" t="s">
        <v>1181</v>
      </c>
      <c r="M71" s="57">
        <v>2016</v>
      </c>
      <c r="N71" s="689" t="str">
        <f>NSTonghop!AG71</f>
        <v>V.07.04.11</v>
      </c>
      <c r="O71" s="58" t="s">
        <v>363</v>
      </c>
      <c r="P71" s="57">
        <v>7</v>
      </c>
      <c r="Q71" s="60">
        <v>4.32</v>
      </c>
      <c r="R71" s="51" t="str">
        <f t="shared" si="20"/>
        <v/>
      </c>
      <c r="S71" s="52" t="str">
        <f t="shared" si="21"/>
        <v/>
      </c>
      <c r="T71" s="51" t="str">
        <f t="shared" si="22"/>
        <v>01/4</v>
      </c>
      <c r="U71" s="52">
        <f t="shared" si="23"/>
        <v>4.6500000000000004</v>
      </c>
      <c r="V71" s="51" t="str">
        <f t="shared" si="24"/>
        <v/>
      </c>
      <c r="W71" s="52" t="str">
        <f t="shared" si="25"/>
        <v/>
      </c>
      <c r="X71" s="51" t="str">
        <f t="shared" si="26"/>
        <v/>
      </c>
      <c r="Y71" s="52" t="str">
        <f t="shared" si="27"/>
        <v/>
      </c>
      <c r="Z71" s="51" t="str">
        <f t="shared" si="28"/>
        <v>01/4</v>
      </c>
      <c r="AA71" s="52">
        <f t="shared" si="29"/>
        <v>4.9800000000000004</v>
      </c>
      <c r="AB71" s="51" t="str">
        <f t="shared" si="30"/>
        <v/>
      </c>
      <c r="AC71" s="52" t="str">
        <f t="shared" si="31"/>
        <v/>
      </c>
      <c r="AD71" s="51" t="str">
        <f t="shared" si="32"/>
        <v/>
      </c>
      <c r="AE71" s="52" t="str">
        <f t="shared" si="33"/>
        <v/>
      </c>
      <c r="AF71" s="51" t="str">
        <f t="shared" si="34"/>
        <v>01/4</v>
      </c>
      <c r="AG71" s="52">
        <f t="shared" si="35"/>
        <v>5.3100000000000005</v>
      </c>
      <c r="AH71" s="63"/>
    </row>
    <row r="72" spans="1:34" s="79" customFormat="1" x14ac:dyDescent="0.25">
      <c r="A72" s="54">
        <f>IF(C72=0,0,MAX($A$8:A71)+1)</f>
        <v>65</v>
      </c>
      <c r="B72" s="55">
        <f>NSTonghop!E72</f>
        <v>0</v>
      </c>
      <c r="C72" s="55" t="str">
        <f>NSTonghop!F72</f>
        <v>Lê Thị Kim Thảo</v>
      </c>
      <c r="D72" s="72"/>
      <c r="E72" s="73"/>
      <c r="F72" s="73"/>
      <c r="G72" s="694" t="str">
        <f>NSTonghop!AL72</f>
        <v>01/09/2004</v>
      </c>
      <c r="H72" s="72"/>
      <c r="I72" s="73"/>
      <c r="J72" s="75"/>
      <c r="K72" s="74"/>
      <c r="L72" s="74"/>
      <c r="M72" s="73"/>
      <c r="N72" s="689" t="str">
        <f>NSTonghop!AG72</f>
        <v>V.07.04.11</v>
      </c>
      <c r="O72" s="74" t="s">
        <v>363</v>
      </c>
      <c r="P72" s="73"/>
      <c r="Q72" s="76"/>
      <c r="R72" s="51" t="str">
        <f t="shared" si="20"/>
        <v/>
      </c>
      <c r="S72" s="52" t="str">
        <f t="shared" si="21"/>
        <v/>
      </c>
      <c r="T72" s="51" t="str">
        <f t="shared" si="22"/>
        <v/>
      </c>
      <c r="U72" s="52" t="str">
        <f t="shared" si="23"/>
        <v/>
      </c>
      <c r="V72" s="51" t="str">
        <f t="shared" si="24"/>
        <v/>
      </c>
      <c r="W72" s="52" t="str">
        <f t="shared" si="25"/>
        <v/>
      </c>
      <c r="X72" s="51" t="str">
        <f t="shared" si="26"/>
        <v/>
      </c>
      <c r="Y72" s="52" t="str">
        <f t="shared" si="27"/>
        <v/>
      </c>
      <c r="Z72" s="51" t="str">
        <f t="shared" si="28"/>
        <v/>
      </c>
      <c r="AA72" s="52" t="str">
        <f t="shared" si="29"/>
        <v/>
      </c>
      <c r="AB72" s="51" t="str">
        <f t="shared" si="30"/>
        <v/>
      </c>
      <c r="AC72" s="52" t="str">
        <f t="shared" si="31"/>
        <v/>
      </c>
      <c r="AD72" s="51" t="str">
        <f t="shared" si="32"/>
        <v/>
      </c>
      <c r="AE72" s="52" t="str">
        <f t="shared" si="33"/>
        <v/>
      </c>
      <c r="AF72" s="51" t="str">
        <f t="shared" si="34"/>
        <v/>
      </c>
      <c r="AG72" s="52" t="str">
        <f t="shared" si="35"/>
        <v/>
      </c>
      <c r="AH72" s="71"/>
    </row>
    <row r="73" spans="1:34" x14ac:dyDescent="0.25">
      <c r="A73" s="54">
        <f>IF(C73=0,0,MAX($A$8:A72)+1)</f>
        <v>66</v>
      </c>
      <c r="B73" s="55">
        <f>NSTonghop!E73</f>
        <v>0</v>
      </c>
      <c r="C73" s="55" t="str">
        <f>NSTonghop!F73</f>
        <v>Lê Nguyên Khiêm</v>
      </c>
      <c r="D73" s="56">
        <v>15113</v>
      </c>
      <c r="E73" s="57">
        <v>1</v>
      </c>
      <c r="F73" s="57">
        <v>1.78</v>
      </c>
      <c r="G73" s="694" t="str">
        <f>NSTonghop!AL73</f>
        <v>16/09/2000</v>
      </c>
      <c r="H73" s="56" t="s">
        <v>366</v>
      </c>
      <c r="I73" s="57">
        <v>2</v>
      </c>
      <c r="J73" s="59">
        <v>2.67</v>
      </c>
      <c r="K73" s="80" t="s">
        <v>767</v>
      </c>
      <c r="L73" s="80" t="s">
        <v>1368</v>
      </c>
      <c r="M73" s="57">
        <v>2018</v>
      </c>
      <c r="N73" s="689" t="str">
        <f>NSTonghop!AG73</f>
        <v>V.07.04.11</v>
      </c>
      <c r="O73" s="58" t="s">
        <v>363</v>
      </c>
      <c r="P73" s="57">
        <v>7</v>
      </c>
      <c r="Q73" s="60">
        <v>4.32</v>
      </c>
      <c r="R73" s="51" t="str">
        <f t="shared" si="20"/>
        <v/>
      </c>
      <c r="S73" s="52" t="str">
        <f t="shared" si="21"/>
        <v/>
      </c>
      <c r="T73" s="51" t="str">
        <f t="shared" si="22"/>
        <v/>
      </c>
      <c r="U73" s="52" t="str">
        <f t="shared" si="23"/>
        <v/>
      </c>
      <c r="V73" s="51" t="str">
        <f t="shared" si="24"/>
        <v/>
      </c>
      <c r="W73" s="52" t="str">
        <f t="shared" si="25"/>
        <v/>
      </c>
      <c r="X73" s="51" t="str">
        <f t="shared" si="26"/>
        <v>01/01</v>
      </c>
      <c r="Y73" s="52">
        <f t="shared" si="27"/>
        <v>4.6500000000000004</v>
      </c>
      <c r="Z73" s="51" t="str">
        <f t="shared" si="28"/>
        <v/>
      </c>
      <c r="AA73" s="52" t="str">
        <f t="shared" si="29"/>
        <v/>
      </c>
      <c r="AB73" s="51" t="str">
        <f t="shared" si="30"/>
        <v/>
      </c>
      <c r="AC73" s="52" t="str">
        <f t="shared" si="31"/>
        <v/>
      </c>
      <c r="AD73" s="51" t="str">
        <f t="shared" si="32"/>
        <v>01/01</v>
      </c>
      <c r="AE73" s="52">
        <f t="shared" si="33"/>
        <v>4.9800000000000004</v>
      </c>
      <c r="AF73" s="51" t="str">
        <f t="shared" si="34"/>
        <v/>
      </c>
      <c r="AG73" s="52" t="str">
        <f t="shared" si="35"/>
        <v/>
      </c>
      <c r="AH73" s="63"/>
    </row>
    <row r="74" spans="1:34" x14ac:dyDescent="0.25">
      <c r="A74" s="54">
        <f>IF(C74=0,0,MAX($A$8:A73)+1)</f>
        <v>67</v>
      </c>
      <c r="B74" s="55">
        <f>NSTonghop!E74</f>
        <v>0</v>
      </c>
      <c r="C74" s="55" t="str">
        <f>NSTonghop!F74</f>
        <v>Trịnh Thị Thanh Trúc</v>
      </c>
      <c r="D74" s="56"/>
      <c r="E74" s="57"/>
      <c r="F74" s="57"/>
      <c r="G74" s="694" t="str">
        <f>NSTonghop!AL74</f>
        <v>01/09/2001</v>
      </c>
      <c r="H74" s="56"/>
      <c r="I74" s="57"/>
      <c r="J74" s="59"/>
      <c r="K74" s="58"/>
      <c r="L74" s="58"/>
      <c r="M74" s="57"/>
      <c r="N74" s="689" t="str">
        <f>NSTonghop!AG74</f>
        <v>V.07.04.11</v>
      </c>
      <c r="O74" s="58" t="s">
        <v>363</v>
      </c>
      <c r="P74" s="57"/>
      <c r="Q74" s="60"/>
      <c r="R74" s="51" t="str">
        <f t="shared" si="20"/>
        <v/>
      </c>
      <c r="S74" s="52" t="str">
        <f t="shared" si="21"/>
        <v/>
      </c>
      <c r="T74" s="51" t="str">
        <f t="shared" si="22"/>
        <v/>
      </c>
      <c r="U74" s="52" t="str">
        <f t="shared" si="23"/>
        <v/>
      </c>
      <c r="V74" s="51" t="str">
        <f t="shared" si="24"/>
        <v/>
      </c>
      <c r="W74" s="52" t="str">
        <f t="shared" si="25"/>
        <v/>
      </c>
      <c r="X74" s="51" t="str">
        <f t="shared" si="26"/>
        <v/>
      </c>
      <c r="Y74" s="52" t="str">
        <f t="shared" si="27"/>
        <v/>
      </c>
      <c r="Z74" s="51" t="str">
        <f t="shared" si="28"/>
        <v/>
      </c>
      <c r="AA74" s="52" t="str">
        <f t="shared" si="29"/>
        <v/>
      </c>
      <c r="AB74" s="51" t="str">
        <f t="shared" si="30"/>
        <v/>
      </c>
      <c r="AC74" s="52" t="str">
        <f t="shared" si="31"/>
        <v/>
      </c>
      <c r="AD74" s="51" t="str">
        <f t="shared" si="32"/>
        <v/>
      </c>
      <c r="AE74" s="52" t="str">
        <f t="shared" si="33"/>
        <v/>
      </c>
      <c r="AF74" s="51" t="str">
        <f t="shared" si="34"/>
        <v/>
      </c>
      <c r="AG74" s="52" t="str">
        <f t="shared" si="35"/>
        <v/>
      </c>
      <c r="AH74" s="63"/>
    </row>
    <row r="75" spans="1:34" x14ac:dyDescent="0.25">
      <c r="A75" s="54">
        <f>IF(C75=0,0,MAX($A$8:A74)+1)</f>
        <v>68</v>
      </c>
      <c r="B75" s="55">
        <f>NSTonghop!E75</f>
        <v>0</v>
      </c>
      <c r="C75" s="55" t="str">
        <f>NSTonghop!F75</f>
        <v>Huỳnh Văn Phước</v>
      </c>
      <c r="D75" s="56"/>
      <c r="E75" s="57"/>
      <c r="F75" s="57"/>
      <c r="G75" s="694" t="str">
        <f>NSTonghop!AL75</f>
        <v>01/09/1987</v>
      </c>
      <c r="H75" s="56"/>
      <c r="I75" s="57"/>
      <c r="J75" s="59"/>
      <c r="K75" s="58"/>
      <c r="L75" s="58"/>
      <c r="M75" s="57"/>
      <c r="N75" s="689" t="str">
        <f>NSTonghop!AG75</f>
        <v>V.07.04.11</v>
      </c>
      <c r="O75" s="58" t="s">
        <v>363</v>
      </c>
      <c r="P75" s="57"/>
      <c r="Q75" s="60"/>
      <c r="R75" s="51" t="str">
        <f t="shared" si="20"/>
        <v/>
      </c>
      <c r="S75" s="52" t="str">
        <f t="shared" si="21"/>
        <v/>
      </c>
      <c r="T75" s="51" t="str">
        <f t="shared" si="22"/>
        <v/>
      </c>
      <c r="U75" s="52" t="str">
        <f t="shared" si="23"/>
        <v/>
      </c>
      <c r="V75" s="51" t="str">
        <f t="shared" si="24"/>
        <v/>
      </c>
      <c r="W75" s="52" t="str">
        <f t="shared" si="25"/>
        <v/>
      </c>
      <c r="X75" s="51" t="str">
        <f t="shared" si="26"/>
        <v/>
      </c>
      <c r="Y75" s="52" t="str">
        <f t="shared" si="27"/>
        <v/>
      </c>
      <c r="Z75" s="51" t="str">
        <f t="shared" si="28"/>
        <v/>
      </c>
      <c r="AA75" s="52" t="str">
        <f t="shared" si="29"/>
        <v/>
      </c>
      <c r="AB75" s="51" t="str">
        <f t="shared" si="30"/>
        <v/>
      </c>
      <c r="AC75" s="52" t="str">
        <f t="shared" si="31"/>
        <v/>
      </c>
      <c r="AD75" s="51" t="str">
        <f t="shared" si="32"/>
        <v/>
      </c>
      <c r="AE75" s="52" t="str">
        <f t="shared" si="33"/>
        <v/>
      </c>
      <c r="AF75" s="51" t="str">
        <f t="shared" si="34"/>
        <v/>
      </c>
      <c r="AG75" s="52" t="str">
        <f t="shared" si="35"/>
        <v/>
      </c>
      <c r="AH75" s="63"/>
    </row>
    <row r="76" spans="1:34" x14ac:dyDescent="0.25">
      <c r="A76" s="54">
        <f>IF(C76=0,0,MAX($A$8:A75)+1)</f>
        <v>69</v>
      </c>
      <c r="B76" s="55">
        <f>NSTonghop!E76</f>
        <v>0</v>
      </c>
      <c r="C76" s="55" t="str">
        <f>NSTonghop!F76</f>
        <v>Nguyễn Thị Yến Nhi</v>
      </c>
      <c r="D76" s="56"/>
      <c r="E76" s="57"/>
      <c r="F76" s="57"/>
      <c r="G76" s="694" t="str">
        <f>NSTonghop!AL76</f>
        <v>10/12/1991</v>
      </c>
      <c r="H76" s="56"/>
      <c r="I76" s="57"/>
      <c r="J76" s="59"/>
      <c r="K76" s="58"/>
      <c r="L76" s="58"/>
      <c r="M76" s="57"/>
      <c r="N76" s="689" t="str">
        <f>NSTonghop!AG76</f>
        <v>V.07.04.11</v>
      </c>
      <c r="O76" s="58" t="s">
        <v>363</v>
      </c>
      <c r="P76" s="57"/>
      <c r="Q76" s="60"/>
      <c r="R76" s="51" t="str">
        <f t="shared" si="20"/>
        <v/>
      </c>
      <c r="S76" s="52" t="str">
        <f t="shared" si="21"/>
        <v/>
      </c>
      <c r="T76" s="51" t="str">
        <f t="shared" si="22"/>
        <v/>
      </c>
      <c r="U76" s="52" t="str">
        <f t="shared" si="23"/>
        <v/>
      </c>
      <c r="V76" s="51" t="str">
        <f t="shared" si="24"/>
        <v/>
      </c>
      <c r="W76" s="52" t="str">
        <f t="shared" si="25"/>
        <v/>
      </c>
      <c r="X76" s="51" t="str">
        <f t="shared" si="26"/>
        <v/>
      </c>
      <c r="Y76" s="52" t="str">
        <f t="shared" si="27"/>
        <v/>
      </c>
      <c r="Z76" s="51" t="str">
        <f t="shared" si="28"/>
        <v/>
      </c>
      <c r="AA76" s="52" t="str">
        <f t="shared" si="29"/>
        <v/>
      </c>
      <c r="AB76" s="51" t="str">
        <f t="shared" si="30"/>
        <v/>
      </c>
      <c r="AC76" s="52" t="str">
        <f t="shared" si="31"/>
        <v/>
      </c>
      <c r="AD76" s="51" t="str">
        <f t="shared" si="32"/>
        <v/>
      </c>
      <c r="AE76" s="52" t="str">
        <f t="shared" si="33"/>
        <v/>
      </c>
      <c r="AF76" s="51" t="str">
        <f t="shared" si="34"/>
        <v/>
      </c>
      <c r="AG76" s="52" t="str">
        <f t="shared" si="35"/>
        <v/>
      </c>
      <c r="AH76" s="62"/>
    </row>
    <row r="77" spans="1:34" x14ac:dyDescent="0.25">
      <c r="A77" s="54">
        <f>IF(C77=0,0,MAX($A$8:A76)+1)</f>
        <v>70</v>
      </c>
      <c r="B77" s="55">
        <f>NSTonghop!E77</f>
        <v>0</v>
      </c>
      <c r="C77" s="55" t="str">
        <f>NSTonghop!F77</f>
        <v>Nguyễn Thị Phương Mai</v>
      </c>
      <c r="D77" s="56">
        <v>15113</v>
      </c>
      <c r="E77" s="57">
        <v>1</v>
      </c>
      <c r="F77" s="57">
        <v>1.78</v>
      </c>
      <c r="G77" s="694" t="str">
        <f>NSTonghop!AL77</f>
        <v>01/09/2003</v>
      </c>
      <c r="H77" s="56" t="s">
        <v>366</v>
      </c>
      <c r="I77" s="57">
        <v>2</v>
      </c>
      <c r="J77" s="59">
        <v>2.67</v>
      </c>
      <c r="K77" s="80" t="s">
        <v>1370</v>
      </c>
      <c r="L77" s="80" t="s">
        <v>1355</v>
      </c>
      <c r="M77" s="57">
        <v>2017</v>
      </c>
      <c r="N77" s="689" t="str">
        <f>NSTonghop!AG77</f>
        <v>V.07.04.11</v>
      </c>
      <c r="O77" s="58" t="s">
        <v>363</v>
      </c>
      <c r="P77" s="57">
        <v>6</v>
      </c>
      <c r="Q77" s="60">
        <v>3.99</v>
      </c>
      <c r="R77" s="51" t="str">
        <f t="shared" si="20"/>
        <v/>
      </c>
      <c r="S77" s="52" t="str">
        <f t="shared" si="21"/>
        <v/>
      </c>
      <c r="T77" s="51" t="str">
        <f t="shared" si="22"/>
        <v/>
      </c>
      <c r="U77" s="52" t="str">
        <f t="shared" si="23"/>
        <v/>
      </c>
      <c r="V77" s="51" t="str">
        <f t="shared" si="24"/>
        <v>01/6</v>
      </c>
      <c r="W77" s="52">
        <f t="shared" si="25"/>
        <v>4.32</v>
      </c>
      <c r="X77" s="51" t="str">
        <f t="shared" si="26"/>
        <v/>
      </c>
      <c r="Y77" s="52" t="str">
        <f t="shared" si="27"/>
        <v/>
      </c>
      <c r="Z77" s="51" t="str">
        <f t="shared" si="28"/>
        <v/>
      </c>
      <c r="AA77" s="52" t="str">
        <f t="shared" si="29"/>
        <v/>
      </c>
      <c r="AB77" s="51" t="str">
        <f t="shared" si="30"/>
        <v>01/6</v>
      </c>
      <c r="AC77" s="52">
        <f t="shared" si="31"/>
        <v>4.6500000000000004</v>
      </c>
      <c r="AD77" s="51" t="str">
        <f t="shared" si="32"/>
        <v/>
      </c>
      <c r="AE77" s="52" t="str">
        <f t="shared" si="33"/>
        <v/>
      </c>
      <c r="AF77" s="51" t="str">
        <f t="shared" si="34"/>
        <v/>
      </c>
      <c r="AG77" s="52" t="str">
        <f t="shared" si="35"/>
        <v/>
      </c>
      <c r="AH77" s="62"/>
    </row>
    <row r="78" spans="1:34" x14ac:dyDescent="0.25">
      <c r="A78" s="54">
        <f>IF(C78=0,0,MAX($A$8:A77)+1)</f>
        <v>71</v>
      </c>
      <c r="B78" s="55">
        <f>NSTonghop!E78</f>
        <v>0</v>
      </c>
      <c r="C78" s="55" t="str">
        <f>NSTonghop!F78</f>
        <v>Đoàn Thị Ghi</v>
      </c>
      <c r="D78" s="56"/>
      <c r="E78" s="57"/>
      <c r="F78" s="57"/>
      <c r="G78" s="694" t="str">
        <f>NSTonghop!AL78</f>
        <v>01/09/2005</v>
      </c>
      <c r="H78" s="56"/>
      <c r="I78" s="57"/>
      <c r="J78" s="59"/>
      <c r="K78" s="58"/>
      <c r="L78" s="58"/>
      <c r="M78" s="57"/>
      <c r="N78" s="689" t="str">
        <f>NSTonghop!AG78</f>
        <v>V.07.04.11</v>
      </c>
      <c r="O78" s="58" t="s">
        <v>363</v>
      </c>
      <c r="P78" s="57"/>
      <c r="Q78" s="60"/>
      <c r="R78" s="51" t="str">
        <f t="shared" si="20"/>
        <v/>
      </c>
      <c r="S78" s="52" t="str">
        <f t="shared" si="21"/>
        <v/>
      </c>
      <c r="T78" s="51" t="str">
        <f t="shared" si="22"/>
        <v/>
      </c>
      <c r="U78" s="52" t="str">
        <f t="shared" si="23"/>
        <v/>
      </c>
      <c r="V78" s="51" t="str">
        <f t="shared" si="24"/>
        <v/>
      </c>
      <c r="W78" s="52" t="str">
        <f t="shared" si="25"/>
        <v/>
      </c>
      <c r="X78" s="51" t="str">
        <f t="shared" si="26"/>
        <v/>
      </c>
      <c r="Y78" s="52" t="str">
        <f t="shared" si="27"/>
        <v/>
      </c>
      <c r="Z78" s="51" t="str">
        <f t="shared" si="28"/>
        <v/>
      </c>
      <c r="AA78" s="52" t="str">
        <f t="shared" si="29"/>
        <v/>
      </c>
      <c r="AB78" s="51" t="str">
        <f t="shared" si="30"/>
        <v/>
      </c>
      <c r="AC78" s="52" t="str">
        <f t="shared" si="31"/>
        <v/>
      </c>
      <c r="AD78" s="51" t="str">
        <f t="shared" si="32"/>
        <v/>
      </c>
      <c r="AE78" s="52" t="str">
        <f t="shared" si="33"/>
        <v/>
      </c>
      <c r="AF78" s="51" t="str">
        <f t="shared" si="34"/>
        <v/>
      </c>
      <c r="AG78" s="52" t="str">
        <f t="shared" si="35"/>
        <v/>
      </c>
      <c r="AH78" s="62"/>
    </row>
    <row r="79" spans="1:34" x14ac:dyDescent="0.25">
      <c r="A79" s="54">
        <f>IF(C79=0,0,MAX($A$8:A78)+1)</f>
        <v>72</v>
      </c>
      <c r="B79" s="55">
        <f>NSTonghop!E79</f>
        <v>0</v>
      </c>
      <c r="C79" s="55" t="str">
        <f>NSTonghop!F79</f>
        <v>Phan Thị Hồng Ngoan</v>
      </c>
      <c r="D79" s="56" t="s">
        <v>379</v>
      </c>
      <c r="E79" s="57">
        <v>1</v>
      </c>
      <c r="F79" s="57">
        <v>2.1</v>
      </c>
      <c r="G79" s="694" t="str">
        <f>NSTonghop!AL79</f>
        <v>01/09/2008</v>
      </c>
      <c r="H79" s="56" t="s">
        <v>366</v>
      </c>
      <c r="I79" s="57">
        <v>2</v>
      </c>
      <c r="J79" s="59">
        <v>2.67</v>
      </c>
      <c r="K79" s="80" t="s">
        <v>1373</v>
      </c>
      <c r="L79" s="80" t="s">
        <v>1182</v>
      </c>
      <c r="M79" s="57">
        <v>2018</v>
      </c>
      <c r="N79" s="689" t="str">
        <f>NSTonghop!AG79</f>
        <v>V.07.04.11</v>
      </c>
      <c r="O79" s="58" t="s">
        <v>363</v>
      </c>
      <c r="P79" s="57">
        <v>4</v>
      </c>
      <c r="Q79" s="60">
        <v>3.33</v>
      </c>
      <c r="R79" s="51" t="str">
        <f t="shared" si="20"/>
        <v/>
      </c>
      <c r="S79" s="52" t="str">
        <f t="shared" si="21"/>
        <v/>
      </c>
      <c r="T79" s="51" t="str">
        <f t="shared" si="22"/>
        <v/>
      </c>
      <c r="U79" s="52" t="str">
        <f t="shared" si="23"/>
        <v/>
      </c>
      <c r="V79" s="51" t="str">
        <f t="shared" si="24"/>
        <v/>
      </c>
      <c r="W79" s="52" t="str">
        <f t="shared" si="25"/>
        <v/>
      </c>
      <c r="X79" s="51" t="str">
        <f t="shared" si="26"/>
        <v>01/9</v>
      </c>
      <c r="Y79" s="52">
        <f t="shared" si="27"/>
        <v>3.66</v>
      </c>
      <c r="Z79" s="51" t="str">
        <f t="shared" si="28"/>
        <v/>
      </c>
      <c r="AA79" s="52" t="str">
        <f t="shared" si="29"/>
        <v/>
      </c>
      <c r="AB79" s="51" t="str">
        <f t="shared" si="30"/>
        <v/>
      </c>
      <c r="AC79" s="52" t="str">
        <f t="shared" si="31"/>
        <v/>
      </c>
      <c r="AD79" s="51" t="str">
        <f t="shared" si="32"/>
        <v>01/9</v>
      </c>
      <c r="AE79" s="52">
        <f t="shared" si="33"/>
        <v>3.99</v>
      </c>
      <c r="AF79" s="51" t="str">
        <f t="shared" si="34"/>
        <v/>
      </c>
      <c r="AG79" s="52" t="str">
        <f t="shared" si="35"/>
        <v/>
      </c>
      <c r="AH79" s="62"/>
    </row>
    <row r="80" spans="1:34" x14ac:dyDescent="0.25">
      <c r="A80" s="54">
        <f>IF(C80=0,0,MAX($A$8:A79)+1)</f>
        <v>73</v>
      </c>
      <c r="B80" s="55">
        <f>NSTonghop!E80</f>
        <v>0</v>
      </c>
      <c r="C80" s="55" t="str">
        <f>NSTonghop!F80</f>
        <v>Nguyễn Thanh Liêm</v>
      </c>
      <c r="D80" s="56"/>
      <c r="E80" s="57"/>
      <c r="F80" s="57"/>
      <c r="G80" s="694" t="str">
        <f>NSTonghop!AL80</f>
        <v>01/09/2007</v>
      </c>
      <c r="H80" s="56"/>
      <c r="I80" s="57"/>
      <c r="J80" s="59"/>
      <c r="K80" s="58"/>
      <c r="L80" s="58"/>
      <c r="M80" s="57"/>
      <c r="N80" s="689" t="str">
        <f>NSTonghop!AG80</f>
        <v>V.07.04.11</v>
      </c>
      <c r="O80" s="58" t="s">
        <v>363</v>
      </c>
      <c r="P80" s="57"/>
      <c r="Q80" s="60"/>
      <c r="R80" s="51" t="str">
        <f t="shared" si="20"/>
        <v/>
      </c>
      <c r="S80" s="52" t="str">
        <f t="shared" si="21"/>
        <v/>
      </c>
      <c r="T80" s="51" t="str">
        <f t="shared" ref="T80:T106" si="36">IF(OR($T$6-$M80=3,$T$6-$M80=6,$T$6-$M80=9,$T$6-$M80=12,$T$6-$M80=15,$T$6-$M80=18,$T$6-$M80=21,$T$6-$M80=24),$L80,"")</f>
        <v/>
      </c>
      <c r="U80" s="52" t="str">
        <f t="shared" ref="U80:U106" si="37">IF($T80="","",IF(AND($T$6-$M80=3,$O80="a1"),$Q80+0.33,$Q80+0.31))</f>
        <v/>
      </c>
      <c r="V80" s="51" t="str">
        <f t="shared" ref="V80:V106" si="38">IF(OR($V$6-$M80=3,$V$6-$M80=6,$V$6-$M80=9,$V$6-$M80=12,$V$6-$M80=15,$V$6-$M80=18,$V$6-$M80=21,$V$6-$M80=24),$L80,"")</f>
        <v/>
      </c>
      <c r="W80" s="52" t="str">
        <f t="shared" ref="W80:W106" si="39">IF($V80="","",(IF(AND($V$6-$M80=3,$O80="a1"),$Q80+0.33,IF(AND($V$6-$M80=3,$O80="a2"),$Q80+0.31,IF(AND($V$6-$M80=6,$O80="a1"),$Q80+0.33,$Q80+0.31)))))</f>
        <v/>
      </c>
      <c r="X80" s="51" t="str">
        <f t="shared" ref="X80:X106" si="40">IF(OR($X$6-$M80=3,$X$6-$M80=6,$X$6-$M80=9,$X$6-$M80=12,$X$6-$M80=15,$X$6-$M80=18,$X$6-$M80=21,$X$6-$M80=24),$L80,"")</f>
        <v/>
      </c>
      <c r="Y80" s="52" t="str">
        <f t="shared" ref="Y80:Y106" si="41">IF($X80="","",IF(AND($X$6-$M80=3,$O80="a1",$O80="a1"),$Q80+0.33,IF(AND($X$6-$M80=3,$O80="a2"),$Q80+0.31,IF(AND($X$6-$M80=6,$O80="a1"),$S80+0.33,$S80+0.31))))</f>
        <v/>
      </c>
      <c r="Z80" s="51" t="str">
        <f t="shared" ref="Z80:Z106" si="42">IF(OR($Z$6-$M80=3,$Z$6-$M80=6,$Z$6-$M80=9,$Z$6-$M80=12,$Z$6-$M80=15,$Z$6-$M80=18,$Z$6-$M80=21,$Z$6-$M80=24),$L80,"")</f>
        <v/>
      </c>
      <c r="AA80" s="52" t="str">
        <f t="shared" ref="AA80:AA106" si="43">IF($Z80="","",IF(AND(OR($Z$6-$M80=3,$Z$6-$M80=6),$O80="a1"),$U80+0.33,$U80+0.31))</f>
        <v/>
      </c>
      <c r="AB80" s="51" t="str">
        <f t="shared" ref="AB80:AB106" si="44">IF(OR($AB$6-$M80=3,$AB$6-$M80=6,$AB$6-$M80=9,$AB$6-$M80=12,$AB$6-$M80=15,$AB$6-$M80=18,$AB$6-$M80=21,$AB$6-$M80=24),$L80,"")</f>
        <v/>
      </c>
      <c r="AC80" s="52" t="str">
        <f t="shared" ref="AC80:AC106" si="45">IF($AB80="","",IF(AND(OR($AB$6-$M80=9,$AB$6-$M80=6),$O80="a1"),$W80+0.33,$W80+0.31))</f>
        <v/>
      </c>
      <c r="AD80" s="51" t="str">
        <f t="shared" ref="AD80:AD106" si="46">IF(OR($AD$6-$M80=3,$AD$6-$M80=6,$AD$6-$M80=9,$AD$6-$M80=12,$AD$6-$M80=15,$AD$6-$M80=18,$AD$6-$M80=21,$AD$6-$M80=24),$L80,"")</f>
        <v/>
      </c>
      <c r="AE80" s="52" t="str">
        <f t="shared" ref="AE80:AE106" si="47">IF($AD80="","",IF(AND(OR($AD$6-$M80=3,$AD$6-$M80=6,$AD$6-$M80=9),$O80="a1"),$Y80+0.33,$Y80+0.31))</f>
        <v/>
      </c>
      <c r="AF80" s="51" t="str">
        <f t="shared" ref="AF80:AF106" si="48">IF(OR($AF$6-$M80=3,$AF$6-$M80=6,$AF$6-$M80=9,$AF$6-$M80=12,$AF$6-$M80=15,$AF$6-$M80=18,$AF$6-$M80=21,$AF$6-$M80=24),$L80,"")</f>
        <v/>
      </c>
      <c r="AG80" s="52" t="str">
        <f t="shared" ref="AG80:AG106" si="49">IF($AF80="","",IF(AND($AF$6-$M80=9,$O80="a1"),$AA80+0.33,$AA80+0.31))</f>
        <v/>
      </c>
      <c r="AH80" s="62"/>
    </row>
    <row r="81" spans="1:34" x14ac:dyDescent="0.25">
      <c r="A81" s="54">
        <f>IF(C81=0,0,MAX($A$8:A80)+1)</f>
        <v>74</v>
      </c>
      <c r="B81" s="55">
        <f>NSTonghop!E81</f>
        <v>0</v>
      </c>
      <c r="C81" s="55" t="str">
        <f>NSTonghop!F81</f>
        <v>Trần Thị Sẫm</v>
      </c>
      <c r="D81" s="56"/>
      <c r="E81" s="57"/>
      <c r="F81" s="57"/>
      <c r="G81" s="694" t="str">
        <f>NSTonghop!AL81</f>
        <v>01/09/1986</v>
      </c>
      <c r="H81" s="56"/>
      <c r="I81" s="57"/>
      <c r="J81" s="59"/>
      <c r="K81" s="58"/>
      <c r="L81" s="58"/>
      <c r="M81" s="57"/>
      <c r="N81" s="689" t="str">
        <f>NSTonghop!AG81</f>
        <v>V.07.04.11</v>
      </c>
      <c r="O81" s="58" t="s">
        <v>363</v>
      </c>
      <c r="P81" s="57"/>
      <c r="Q81" s="60"/>
      <c r="R81" s="51" t="str">
        <f t="shared" ref="R81:R106" si="50">IF(OR($R$6-$M81=3,$R$6-$M81=6,$R$6-$M81=9,$R$6-$M81=12,$R$6-$M81=15,$R$6-$M81=18,$R$6-$M81=21,$R$6-$M81=24),$L81,"")</f>
        <v/>
      </c>
      <c r="S81" s="52" t="str">
        <f t="shared" ref="S81:S106" si="51">IF($R81="","",IF(AND($R$6-$M81=3,$O81="a1"),$Q81+0.33,$Q81+0.31))</f>
        <v/>
      </c>
      <c r="T81" s="51" t="str">
        <f t="shared" si="36"/>
        <v/>
      </c>
      <c r="U81" s="52" t="str">
        <f t="shared" si="37"/>
        <v/>
      </c>
      <c r="V81" s="51" t="str">
        <f t="shared" si="38"/>
        <v/>
      </c>
      <c r="W81" s="52" t="str">
        <f t="shared" si="39"/>
        <v/>
      </c>
      <c r="X81" s="51" t="str">
        <f t="shared" si="40"/>
        <v/>
      </c>
      <c r="Y81" s="52" t="str">
        <f t="shared" si="41"/>
        <v/>
      </c>
      <c r="Z81" s="51" t="str">
        <f t="shared" si="42"/>
        <v/>
      </c>
      <c r="AA81" s="52" t="str">
        <f t="shared" si="43"/>
        <v/>
      </c>
      <c r="AB81" s="51" t="str">
        <f t="shared" si="44"/>
        <v/>
      </c>
      <c r="AC81" s="52" t="str">
        <f t="shared" si="45"/>
        <v/>
      </c>
      <c r="AD81" s="51" t="str">
        <f t="shared" si="46"/>
        <v/>
      </c>
      <c r="AE81" s="52" t="str">
        <f t="shared" si="47"/>
        <v/>
      </c>
      <c r="AF81" s="51" t="str">
        <f t="shared" si="48"/>
        <v/>
      </c>
      <c r="AG81" s="52" t="str">
        <f t="shared" si="49"/>
        <v/>
      </c>
      <c r="AH81" s="62"/>
    </row>
    <row r="82" spans="1:34" x14ac:dyDescent="0.25">
      <c r="A82" s="54">
        <f>IF(C82=0,0,MAX($A$8:A81)+1)</f>
        <v>75</v>
      </c>
      <c r="B82" s="55" t="str">
        <f>NSTonghop!E82</f>
        <v>Nghỉ hưu 7/19</v>
      </c>
      <c r="C82" s="55" t="str">
        <f>NSTonghop!F82</f>
        <v>Trương Thị Thiền</v>
      </c>
      <c r="D82" s="56"/>
      <c r="E82" s="57"/>
      <c r="F82" s="57">
        <v>55</v>
      </c>
      <c r="G82" s="694" t="str">
        <f>NSTonghop!AL82</f>
        <v>17/09/1984</v>
      </c>
      <c r="H82" s="56" t="s">
        <v>366</v>
      </c>
      <c r="I82" s="57">
        <v>6</v>
      </c>
      <c r="J82" s="59">
        <v>3.99</v>
      </c>
      <c r="K82" s="80" t="s">
        <v>767</v>
      </c>
      <c r="L82" s="80" t="s">
        <v>1368</v>
      </c>
      <c r="M82" s="57">
        <v>2012</v>
      </c>
      <c r="N82" s="689" t="str">
        <f>NSTonghop!AG82</f>
        <v>V.07.04.11</v>
      </c>
      <c r="O82" s="58" t="s">
        <v>363</v>
      </c>
      <c r="P82" s="57">
        <v>9</v>
      </c>
      <c r="Q82" s="60">
        <v>4.9800000000000004</v>
      </c>
      <c r="R82" s="77" t="str">
        <f t="shared" si="50"/>
        <v>01/01</v>
      </c>
      <c r="S82" s="78">
        <v>0.8</v>
      </c>
      <c r="T82" s="408"/>
      <c r="U82" s="407"/>
      <c r="V82" s="408"/>
      <c r="W82" s="407"/>
      <c r="X82" s="408"/>
      <c r="Y82" s="407"/>
      <c r="Z82" s="408"/>
      <c r="AA82" s="407"/>
      <c r="AB82" s="408"/>
      <c r="AC82" s="407"/>
      <c r="AD82" s="408"/>
      <c r="AE82" s="407"/>
      <c r="AF82" s="408"/>
      <c r="AG82" s="407"/>
      <c r="AH82" s="684"/>
    </row>
    <row r="83" spans="1:34" x14ac:dyDescent="0.25">
      <c r="A83" s="54">
        <f>IF(C83=0,0,MAX($A$8:A82)+1)</f>
        <v>76</v>
      </c>
      <c r="B83" s="55" t="str">
        <f>NSTonghop!E83</f>
        <v>Nghỉ hưu 7/17</v>
      </c>
      <c r="C83" s="55" t="str">
        <f>NSTonghop!F83</f>
        <v>Ngô Thị Quý</v>
      </c>
      <c r="D83" s="56"/>
      <c r="E83" s="57"/>
      <c r="F83" s="57">
        <v>55</v>
      </c>
      <c r="G83" s="694">
        <f>NSTonghop!AL83</f>
        <v>30942</v>
      </c>
      <c r="H83" s="56" t="s">
        <v>366</v>
      </c>
      <c r="I83" s="57">
        <v>6</v>
      </c>
      <c r="J83" s="59">
        <v>3.99</v>
      </c>
      <c r="K83" s="58">
        <v>38626</v>
      </c>
      <c r="L83" s="80" t="s">
        <v>1182</v>
      </c>
      <c r="M83" s="57">
        <v>2012</v>
      </c>
      <c r="N83" s="689" t="str">
        <f>NSTonghop!AG83</f>
        <v>V.07.04.11</v>
      </c>
      <c r="O83" s="58" t="s">
        <v>363</v>
      </c>
      <c r="P83" s="57"/>
      <c r="Q83" s="60">
        <v>4.9800000000000004</v>
      </c>
      <c r="R83" s="408"/>
      <c r="S83" s="407"/>
      <c r="T83" s="408"/>
      <c r="U83" s="407"/>
      <c r="V83" s="408"/>
      <c r="W83" s="407"/>
      <c r="X83" s="408"/>
      <c r="Y83" s="407"/>
      <c r="Z83" s="408"/>
      <c r="AA83" s="407"/>
      <c r="AB83" s="408"/>
      <c r="AC83" s="407"/>
      <c r="AD83" s="408"/>
      <c r="AE83" s="407"/>
      <c r="AF83" s="408"/>
      <c r="AG83" s="407"/>
      <c r="AH83" s="684"/>
    </row>
    <row r="84" spans="1:34" x14ac:dyDescent="0.25">
      <c r="A84" s="54">
        <f>IF(C84=0,0,MAX($A$8:A83)+1)</f>
        <v>77</v>
      </c>
      <c r="B84" s="55">
        <f>NSTonghop!E84</f>
        <v>0</v>
      </c>
      <c r="C84" s="55" t="str">
        <f>NSTonghop!F84</f>
        <v>Tiêu Thanh Nam</v>
      </c>
      <c r="D84" s="56"/>
      <c r="E84" s="57"/>
      <c r="F84" s="57"/>
      <c r="G84" s="694" t="str">
        <f>NSTonghop!AL84</f>
        <v>01/12/1991</v>
      </c>
      <c r="H84" s="56"/>
      <c r="I84" s="57"/>
      <c r="J84" s="59"/>
      <c r="K84" s="58"/>
      <c r="L84" s="80" t="s">
        <v>1181</v>
      </c>
      <c r="M84" s="57">
        <v>2016</v>
      </c>
      <c r="N84" s="689" t="str">
        <f>NSTonghop!AG84</f>
        <v>V.07.04.11</v>
      </c>
      <c r="O84" s="58" t="s">
        <v>363</v>
      </c>
      <c r="P84" s="57">
        <v>9</v>
      </c>
      <c r="Q84" s="60">
        <v>4.9800000000000004</v>
      </c>
      <c r="R84" s="51" t="str">
        <f t="shared" si="50"/>
        <v/>
      </c>
      <c r="S84" s="52" t="str">
        <f t="shared" si="51"/>
        <v/>
      </c>
      <c r="T84" s="51" t="str">
        <f t="shared" si="36"/>
        <v>01/4</v>
      </c>
      <c r="U84" s="52">
        <f t="shared" si="37"/>
        <v>5.3100000000000005</v>
      </c>
      <c r="V84" s="51" t="str">
        <f t="shared" si="38"/>
        <v/>
      </c>
      <c r="W84" s="52" t="str">
        <f t="shared" si="39"/>
        <v/>
      </c>
      <c r="X84" s="51" t="str">
        <f t="shared" si="40"/>
        <v/>
      </c>
      <c r="Y84" s="52" t="str">
        <f t="shared" si="41"/>
        <v/>
      </c>
      <c r="Z84" s="51" t="str">
        <f t="shared" si="42"/>
        <v>01/4</v>
      </c>
      <c r="AA84" s="52">
        <f t="shared" si="43"/>
        <v>5.6400000000000006</v>
      </c>
      <c r="AB84" s="51" t="str">
        <f t="shared" si="44"/>
        <v/>
      </c>
      <c r="AC84" s="52" t="str">
        <f t="shared" si="45"/>
        <v/>
      </c>
      <c r="AD84" s="51" t="str">
        <f t="shared" si="46"/>
        <v/>
      </c>
      <c r="AE84" s="52" t="str">
        <f t="shared" si="47"/>
        <v/>
      </c>
      <c r="AF84" s="51" t="str">
        <f t="shared" si="48"/>
        <v>01/4</v>
      </c>
      <c r="AG84" s="52">
        <f t="shared" si="49"/>
        <v>5.9700000000000006</v>
      </c>
      <c r="AH84" s="62"/>
    </row>
    <row r="85" spans="1:34" x14ac:dyDescent="0.25">
      <c r="A85" s="54">
        <f>IF(C85=0,0,MAX($A$8:A84)+1)</f>
        <v>78</v>
      </c>
      <c r="B85" s="55">
        <f>NSTonghop!E85</f>
        <v>0</v>
      </c>
      <c r="C85" s="55" t="str">
        <f>NSTonghop!F85</f>
        <v>Dương Bình Trọng</v>
      </c>
      <c r="D85" s="56"/>
      <c r="E85" s="57"/>
      <c r="F85" s="57"/>
      <c r="G85" s="694" t="str">
        <f>NSTonghop!AL85</f>
        <v>01/09/2006</v>
      </c>
      <c r="H85" s="56"/>
      <c r="I85" s="57"/>
      <c r="J85" s="59"/>
      <c r="K85" s="58"/>
      <c r="L85" s="80" t="s">
        <v>1182</v>
      </c>
      <c r="M85" s="410">
        <v>2016</v>
      </c>
      <c r="N85" s="689" t="str">
        <f>NSTonghop!AG85</f>
        <v>V.07.04.11</v>
      </c>
      <c r="O85" s="58" t="s">
        <v>363</v>
      </c>
      <c r="P85" s="57">
        <v>4</v>
      </c>
      <c r="Q85" s="60">
        <v>3.33</v>
      </c>
      <c r="R85" s="51" t="str">
        <f t="shared" si="50"/>
        <v/>
      </c>
      <c r="S85" s="52" t="str">
        <f t="shared" si="51"/>
        <v/>
      </c>
      <c r="T85" s="409" t="s">
        <v>1183</v>
      </c>
      <c r="U85" s="52">
        <f t="shared" si="37"/>
        <v>3.66</v>
      </c>
      <c r="V85" s="51" t="str">
        <f t="shared" si="38"/>
        <v/>
      </c>
      <c r="W85" s="52" t="str">
        <f t="shared" si="39"/>
        <v/>
      </c>
      <c r="X85" s="51" t="str">
        <f t="shared" si="40"/>
        <v/>
      </c>
      <c r="Y85" s="52" t="str">
        <f t="shared" si="41"/>
        <v/>
      </c>
      <c r="Z85" s="113" t="s">
        <v>1183</v>
      </c>
      <c r="AA85" s="52">
        <f t="shared" si="43"/>
        <v>3.99</v>
      </c>
      <c r="AB85" s="51" t="str">
        <f t="shared" si="44"/>
        <v/>
      </c>
      <c r="AC85" s="52" t="str">
        <f t="shared" si="45"/>
        <v/>
      </c>
      <c r="AD85" s="51" t="str">
        <f t="shared" si="46"/>
        <v/>
      </c>
      <c r="AE85" s="52" t="str">
        <f t="shared" si="47"/>
        <v/>
      </c>
      <c r="AF85" s="113" t="s">
        <v>1183</v>
      </c>
      <c r="AG85" s="52">
        <f t="shared" si="49"/>
        <v>4.32</v>
      </c>
      <c r="AH85" s="62"/>
    </row>
    <row r="86" spans="1:34" x14ac:dyDescent="0.25">
      <c r="A86" s="54">
        <f>IF(C86=0,0,MAX($A$8:A85)+1)</f>
        <v>79</v>
      </c>
      <c r="B86" s="55">
        <f>NSTonghop!E86</f>
        <v>0</v>
      </c>
      <c r="C86" s="55" t="str">
        <f>NSTonghop!F86</f>
        <v>Võ Thanh Cần</v>
      </c>
      <c r="D86" s="56"/>
      <c r="E86" s="57"/>
      <c r="F86" s="57"/>
      <c r="G86" s="694" t="str">
        <f>NSTonghop!AL86</f>
        <v>15/09/2000</v>
      </c>
      <c r="H86" s="56"/>
      <c r="I86" s="57"/>
      <c r="J86" s="59"/>
      <c r="K86" s="58"/>
      <c r="L86" s="58"/>
      <c r="M86" s="57"/>
      <c r="N86" s="689" t="str">
        <f>NSTonghop!AG86</f>
        <v>V.07.04.11</v>
      </c>
      <c r="O86" s="58"/>
      <c r="P86" s="57"/>
      <c r="Q86" s="60"/>
      <c r="R86" s="51" t="str">
        <f t="shared" si="50"/>
        <v/>
      </c>
      <c r="S86" s="52" t="str">
        <f t="shared" si="51"/>
        <v/>
      </c>
      <c r="T86" s="51" t="str">
        <f t="shared" si="36"/>
        <v/>
      </c>
      <c r="U86" s="52" t="str">
        <f t="shared" si="37"/>
        <v/>
      </c>
      <c r="V86" s="51" t="str">
        <f t="shared" si="38"/>
        <v/>
      </c>
      <c r="W86" s="52" t="str">
        <f t="shared" si="39"/>
        <v/>
      </c>
      <c r="X86" s="51" t="str">
        <f t="shared" si="40"/>
        <v/>
      </c>
      <c r="Y86" s="52" t="str">
        <f t="shared" si="41"/>
        <v/>
      </c>
      <c r="Z86" s="51" t="str">
        <f t="shared" si="42"/>
        <v/>
      </c>
      <c r="AA86" s="52" t="str">
        <f t="shared" si="43"/>
        <v/>
      </c>
      <c r="AB86" s="51" t="str">
        <f t="shared" si="44"/>
        <v/>
      </c>
      <c r="AC86" s="52" t="str">
        <f t="shared" si="45"/>
        <v/>
      </c>
      <c r="AD86" s="51" t="str">
        <f t="shared" si="46"/>
        <v/>
      </c>
      <c r="AE86" s="52" t="str">
        <f t="shared" si="47"/>
        <v/>
      </c>
      <c r="AF86" s="51" t="str">
        <f t="shared" si="48"/>
        <v/>
      </c>
      <c r="AG86" s="52" t="str">
        <f t="shared" si="49"/>
        <v/>
      </c>
      <c r="AH86" s="62"/>
    </row>
    <row r="87" spans="1:34" x14ac:dyDescent="0.25">
      <c r="A87" s="54">
        <f>IF(C87=0,0,MAX($A$8:A86)+1)</f>
        <v>80</v>
      </c>
      <c r="B87" s="55">
        <f>NSTonghop!E87</f>
        <v>0</v>
      </c>
      <c r="C87" s="55" t="str">
        <f>NSTonghop!F87</f>
        <v>Lê Hoàng Sơn</v>
      </c>
      <c r="D87" s="56">
        <v>15113</v>
      </c>
      <c r="E87" s="57">
        <v>1</v>
      </c>
      <c r="F87" s="57">
        <v>1.78</v>
      </c>
      <c r="G87" s="694" t="str">
        <f>NSTonghop!AL87</f>
        <v>01/09/1998</v>
      </c>
      <c r="H87" s="56" t="s">
        <v>366</v>
      </c>
      <c r="I87" s="57">
        <v>3</v>
      </c>
      <c r="J87" s="59">
        <v>3</v>
      </c>
      <c r="K87" s="80" t="s">
        <v>1372</v>
      </c>
      <c r="L87" s="80" t="s">
        <v>1181</v>
      </c>
      <c r="M87" s="57">
        <v>2016</v>
      </c>
      <c r="N87" s="689" t="str">
        <f>NSTonghop!AG87</f>
        <v>V.07.04.11</v>
      </c>
      <c r="O87" s="58" t="s">
        <v>363</v>
      </c>
      <c r="P87" s="57">
        <v>6</v>
      </c>
      <c r="Q87" s="60">
        <v>3.99</v>
      </c>
      <c r="R87" s="51" t="str">
        <f t="shared" si="50"/>
        <v/>
      </c>
      <c r="S87" s="52" t="str">
        <f t="shared" si="51"/>
        <v/>
      </c>
      <c r="T87" s="51" t="str">
        <f t="shared" si="36"/>
        <v>01/4</v>
      </c>
      <c r="U87" s="52">
        <f t="shared" si="37"/>
        <v>4.32</v>
      </c>
      <c r="V87" s="51" t="str">
        <f t="shared" si="38"/>
        <v/>
      </c>
      <c r="W87" s="52" t="str">
        <f t="shared" si="39"/>
        <v/>
      </c>
      <c r="X87" s="51" t="str">
        <f t="shared" si="40"/>
        <v/>
      </c>
      <c r="Y87" s="52" t="str">
        <f t="shared" si="41"/>
        <v/>
      </c>
      <c r="Z87" s="51" t="str">
        <f t="shared" si="42"/>
        <v>01/4</v>
      </c>
      <c r="AA87" s="52">
        <f t="shared" si="43"/>
        <v>4.6500000000000004</v>
      </c>
      <c r="AB87" s="51" t="str">
        <f t="shared" si="44"/>
        <v/>
      </c>
      <c r="AC87" s="52" t="str">
        <f t="shared" si="45"/>
        <v/>
      </c>
      <c r="AD87" s="51" t="str">
        <f t="shared" si="46"/>
        <v/>
      </c>
      <c r="AE87" s="52" t="str">
        <f t="shared" si="47"/>
        <v/>
      </c>
      <c r="AF87" s="51" t="str">
        <f t="shared" si="48"/>
        <v>01/4</v>
      </c>
      <c r="AG87" s="52">
        <f t="shared" si="49"/>
        <v>4.9800000000000004</v>
      </c>
      <c r="AH87" s="62"/>
    </row>
    <row r="88" spans="1:34" x14ac:dyDescent="0.25">
      <c r="A88" s="54">
        <f>IF(C88=0,0,MAX($A$8:A87)+1)</f>
        <v>81</v>
      </c>
      <c r="B88" s="55">
        <f>NSTonghop!E88</f>
        <v>0</v>
      </c>
      <c r="C88" s="55" t="str">
        <f>NSTonghop!F88</f>
        <v>Huỳnh Thảo Bích</v>
      </c>
      <c r="D88" s="56"/>
      <c r="E88" s="57"/>
      <c r="F88" s="57"/>
      <c r="G88" s="694" t="str">
        <f>NSTonghop!AL88</f>
        <v>01/09/2002</v>
      </c>
      <c r="H88" s="56"/>
      <c r="I88" s="57"/>
      <c r="J88" s="59"/>
      <c r="K88" s="58"/>
      <c r="L88" s="111"/>
      <c r="M88" s="57"/>
      <c r="N88" s="689" t="str">
        <f>NSTonghop!AG88</f>
        <v>V.07.04.11</v>
      </c>
      <c r="O88" s="58"/>
      <c r="P88" s="57"/>
      <c r="Q88" s="60"/>
      <c r="R88" s="51" t="str">
        <f t="shared" si="50"/>
        <v/>
      </c>
      <c r="S88" s="52" t="str">
        <f t="shared" si="51"/>
        <v/>
      </c>
      <c r="T88" s="51" t="str">
        <f t="shared" si="36"/>
        <v/>
      </c>
      <c r="U88" s="52" t="str">
        <f t="shared" si="37"/>
        <v/>
      </c>
      <c r="V88" s="51" t="str">
        <f t="shared" si="38"/>
        <v/>
      </c>
      <c r="W88" s="52" t="str">
        <f t="shared" si="39"/>
        <v/>
      </c>
      <c r="X88" s="51" t="str">
        <f t="shared" si="40"/>
        <v/>
      </c>
      <c r="Y88" s="52" t="str">
        <f t="shared" si="41"/>
        <v/>
      </c>
      <c r="Z88" s="51" t="str">
        <f t="shared" si="42"/>
        <v/>
      </c>
      <c r="AA88" s="52" t="str">
        <f t="shared" si="43"/>
        <v/>
      </c>
      <c r="AB88" s="51" t="str">
        <f t="shared" si="44"/>
        <v/>
      </c>
      <c r="AC88" s="52" t="str">
        <f t="shared" si="45"/>
        <v/>
      </c>
      <c r="AD88" s="51" t="str">
        <f t="shared" si="46"/>
        <v/>
      </c>
      <c r="AE88" s="52" t="str">
        <f t="shared" si="47"/>
        <v/>
      </c>
      <c r="AF88" s="51" t="str">
        <f t="shared" si="48"/>
        <v/>
      </c>
      <c r="AG88" s="52" t="str">
        <f t="shared" si="49"/>
        <v/>
      </c>
      <c r="AH88" s="62"/>
    </row>
    <row r="89" spans="1:34" x14ac:dyDescent="0.25">
      <c r="A89" s="54">
        <f>IF(C89=0,0,MAX($A$8:A88)+1)</f>
        <v>82</v>
      </c>
      <c r="B89" s="55">
        <f>NSTonghop!E89</f>
        <v>0</v>
      </c>
      <c r="C89" s="55" t="str">
        <f>NSTonghop!F89</f>
        <v>Phan Thị Anh Kim</v>
      </c>
      <c r="D89" s="56" t="s">
        <v>439</v>
      </c>
      <c r="E89" s="57">
        <v>1</v>
      </c>
      <c r="F89" s="57">
        <v>2.1</v>
      </c>
      <c r="G89" s="694" t="str">
        <f>NSTonghop!AL89</f>
        <v>01/09/2012</v>
      </c>
      <c r="H89" s="56" t="s">
        <v>587</v>
      </c>
      <c r="I89" s="57">
        <v>3</v>
      </c>
      <c r="J89" s="59">
        <v>3</v>
      </c>
      <c r="K89" s="80" t="s">
        <v>1180</v>
      </c>
      <c r="L89" s="80" t="s">
        <v>362</v>
      </c>
      <c r="M89" s="57">
        <v>2016</v>
      </c>
      <c r="N89" s="689" t="str">
        <f>NSTonghop!AG89</f>
        <v>V.07.04.11</v>
      </c>
      <c r="O89" s="58" t="s">
        <v>363</v>
      </c>
      <c r="P89" s="57">
        <v>2</v>
      </c>
      <c r="Q89" s="60">
        <v>2.67</v>
      </c>
      <c r="R89" s="51" t="str">
        <f t="shared" si="50"/>
        <v/>
      </c>
      <c r="S89" s="52" t="str">
        <f t="shared" si="51"/>
        <v/>
      </c>
      <c r="T89" s="51" t="str">
        <f t="shared" si="36"/>
        <v>1/9</v>
      </c>
      <c r="U89" s="52">
        <f t="shared" si="37"/>
        <v>3</v>
      </c>
      <c r="V89" s="51" t="str">
        <f t="shared" si="38"/>
        <v/>
      </c>
      <c r="W89" s="52" t="str">
        <f t="shared" si="39"/>
        <v/>
      </c>
      <c r="X89" s="51" t="str">
        <f t="shared" si="40"/>
        <v/>
      </c>
      <c r="Y89" s="52" t="str">
        <f t="shared" si="41"/>
        <v/>
      </c>
      <c r="Z89" s="51" t="str">
        <f t="shared" si="42"/>
        <v>1/9</v>
      </c>
      <c r="AA89" s="52">
        <f t="shared" si="43"/>
        <v>3.33</v>
      </c>
      <c r="AB89" s="51" t="str">
        <f t="shared" si="44"/>
        <v/>
      </c>
      <c r="AC89" s="52" t="str">
        <f t="shared" si="45"/>
        <v/>
      </c>
      <c r="AD89" s="51" t="str">
        <f t="shared" si="46"/>
        <v/>
      </c>
      <c r="AE89" s="52" t="str">
        <f t="shared" si="47"/>
        <v/>
      </c>
      <c r="AF89" s="51" t="str">
        <f t="shared" si="48"/>
        <v>1/9</v>
      </c>
      <c r="AG89" s="52">
        <f t="shared" si="49"/>
        <v>3.66</v>
      </c>
      <c r="AH89" s="62"/>
    </row>
    <row r="90" spans="1:34" x14ac:dyDescent="0.25">
      <c r="A90" s="54">
        <f>IF(C90=0,0,MAX($A$8:A89)+1)</f>
        <v>83</v>
      </c>
      <c r="B90" s="55">
        <f>NSTonghop!E90</f>
        <v>0</v>
      </c>
      <c r="C90" s="55" t="str">
        <f>NSTonghop!F90</f>
        <v>Phan Công Trình</v>
      </c>
      <c r="D90" s="56" t="s">
        <v>573</v>
      </c>
      <c r="E90" s="57" t="s">
        <v>573</v>
      </c>
      <c r="F90" s="57" t="s">
        <v>573</v>
      </c>
      <c r="G90" s="694" t="str">
        <f>NSTonghop!AL90</f>
        <v>01/09/2006</v>
      </c>
      <c r="H90" s="56" t="s">
        <v>573</v>
      </c>
      <c r="I90" s="57" t="s">
        <v>573</v>
      </c>
      <c r="J90" s="59" t="s">
        <v>573</v>
      </c>
      <c r="K90" s="58" t="s">
        <v>573</v>
      </c>
      <c r="L90" s="58" t="s">
        <v>573</v>
      </c>
      <c r="M90" s="57" t="s">
        <v>573</v>
      </c>
      <c r="N90" s="689" t="str">
        <f>NSTonghop!AG90</f>
        <v>V.07.04.11</v>
      </c>
      <c r="O90" s="58" t="s">
        <v>573</v>
      </c>
      <c r="P90" s="57" t="s">
        <v>573</v>
      </c>
      <c r="Q90" s="60" t="s">
        <v>573</v>
      </c>
      <c r="R90" s="51" t="e">
        <f t="shared" si="50"/>
        <v>#VALUE!</v>
      </c>
      <c r="S90" s="52" t="e">
        <f t="shared" si="51"/>
        <v>#VALUE!</v>
      </c>
      <c r="T90" s="51" t="e">
        <f t="shared" si="36"/>
        <v>#VALUE!</v>
      </c>
      <c r="U90" s="52" t="e">
        <f t="shared" si="37"/>
        <v>#VALUE!</v>
      </c>
      <c r="V90" s="51" t="e">
        <f t="shared" si="38"/>
        <v>#VALUE!</v>
      </c>
      <c r="W90" s="52" t="e">
        <f t="shared" si="39"/>
        <v>#VALUE!</v>
      </c>
      <c r="X90" s="51" t="e">
        <f t="shared" si="40"/>
        <v>#VALUE!</v>
      </c>
      <c r="Y90" s="52" t="e">
        <f t="shared" si="41"/>
        <v>#VALUE!</v>
      </c>
      <c r="Z90" s="51" t="e">
        <f t="shared" si="42"/>
        <v>#VALUE!</v>
      </c>
      <c r="AA90" s="52" t="e">
        <f t="shared" si="43"/>
        <v>#VALUE!</v>
      </c>
      <c r="AB90" s="51" t="e">
        <f t="shared" si="44"/>
        <v>#VALUE!</v>
      </c>
      <c r="AC90" s="52" t="e">
        <f t="shared" si="45"/>
        <v>#VALUE!</v>
      </c>
      <c r="AD90" s="51" t="e">
        <f t="shared" si="46"/>
        <v>#VALUE!</v>
      </c>
      <c r="AE90" s="52" t="e">
        <f t="shared" si="47"/>
        <v>#VALUE!</v>
      </c>
      <c r="AF90" s="51" t="e">
        <f t="shared" si="48"/>
        <v>#VALUE!</v>
      </c>
      <c r="AG90" s="52" t="e">
        <f t="shared" si="49"/>
        <v>#VALUE!</v>
      </c>
      <c r="AH90" s="62"/>
    </row>
    <row r="91" spans="1:34" x14ac:dyDescent="0.25">
      <c r="A91" s="54">
        <f>IF(C91=0,0,MAX($A$8:A90)+1)</f>
        <v>84</v>
      </c>
      <c r="B91" s="55">
        <f>NSTonghop!E91</f>
        <v>0</v>
      </c>
      <c r="C91" s="55" t="str">
        <f>NSTonghop!F91</f>
        <v>Phạm Tấn Phong</v>
      </c>
      <c r="D91" s="56" t="s">
        <v>573</v>
      </c>
      <c r="E91" s="57" t="s">
        <v>573</v>
      </c>
      <c r="F91" s="57" t="s">
        <v>573</v>
      </c>
      <c r="G91" s="694" t="str">
        <f>NSTonghop!AL91</f>
        <v>01/09/2003</v>
      </c>
      <c r="H91" s="56" t="s">
        <v>573</v>
      </c>
      <c r="I91" s="57" t="s">
        <v>573</v>
      </c>
      <c r="J91" s="59" t="s">
        <v>573</v>
      </c>
      <c r="K91" s="58" t="s">
        <v>573</v>
      </c>
      <c r="L91" s="58" t="s">
        <v>573</v>
      </c>
      <c r="M91" s="57" t="s">
        <v>573</v>
      </c>
      <c r="N91" s="689" t="str">
        <f>NSTonghop!AG91</f>
        <v>V.07.04.11</v>
      </c>
      <c r="O91" s="58" t="s">
        <v>573</v>
      </c>
      <c r="P91" s="57" t="s">
        <v>573</v>
      </c>
      <c r="Q91" s="60" t="s">
        <v>573</v>
      </c>
      <c r="R91" s="51" t="e">
        <f t="shared" si="50"/>
        <v>#VALUE!</v>
      </c>
      <c r="S91" s="52" t="e">
        <f t="shared" si="51"/>
        <v>#VALUE!</v>
      </c>
      <c r="T91" s="51" t="e">
        <f t="shared" si="36"/>
        <v>#VALUE!</v>
      </c>
      <c r="U91" s="52" t="e">
        <f t="shared" si="37"/>
        <v>#VALUE!</v>
      </c>
      <c r="V91" s="51" t="e">
        <f t="shared" si="38"/>
        <v>#VALUE!</v>
      </c>
      <c r="W91" s="52" t="e">
        <f t="shared" si="39"/>
        <v>#VALUE!</v>
      </c>
      <c r="X91" s="51" t="e">
        <f t="shared" si="40"/>
        <v>#VALUE!</v>
      </c>
      <c r="Y91" s="52" t="e">
        <f t="shared" si="41"/>
        <v>#VALUE!</v>
      </c>
      <c r="Z91" s="51" t="e">
        <f t="shared" si="42"/>
        <v>#VALUE!</v>
      </c>
      <c r="AA91" s="52" t="e">
        <f t="shared" si="43"/>
        <v>#VALUE!</v>
      </c>
      <c r="AB91" s="51" t="e">
        <f t="shared" si="44"/>
        <v>#VALUE!</v>
      </c>
      <c r="AC91" s="52" t="e">
        <f t="shared" si="45"/>
        <v>#VALUE!</v>
      </c>
      <c r="AD91" s="51" t="e">
        <f t="shared" si="46"/>
        <v>#VALUE!</v>
      </c>
      <c r="AE91" s="52" t="e">
        <f t="shared" si="47"/>
        <v>#VALUE!</v>
      </c>
      <c r="AF91" s="51" t="e">
        <f t="shared" si="48"/>
        <v>#VALUE!</v>
      </c>
      <c r="AG91" s="52" t="e">
        <f t="shared" si="49"/>
        <v>#VALUE!</v>
      </c>
      <c r="AH91" s="62"/>
    </row>
    <row r="92" spans="1:34" x14ac:dyDescent="0.25">
      <c r="A92" s="54">
        <f>IF(C92=0,0,MAX($A$8:A91)+1)</f>
        <v>0</v>
      </c>
      <c r="B92" s="55">
        <f>NSTonghop!E92</f>
        <v>0</v>
      </c>
      <c r="C92" s="55">
        <f>NSTonghop!F92</f>
        <v>0</v>
      </c>
      <c r="D92" s="56" t="s">
        <v>573</v>
      </c>
      <c r="E92" s="57" t="s">
        <v>573</v>
      </c>
      <c r="F92" s="57" t="s">
        <v>573</v>
      </c>
      <c r="G92" s="694">
        <f>NSTonghop!AL92</f>
        <v>0</v>
      </c>
      <c r="H92" s="56" t="s">
        <v>573</v>
      </c>
      <c r="I92" s="57" t="s">
        <v>573</v>
      </c>
      <c r="J92" s="59" t="s">
        <v>573</v>
      </c>
      <c r="K92" s="58" t="s">
        <v>573</v>
      </c>
      <c r="L92" s="58" t="s">
        <v>573</v>
      </c>
      <c r="M92" s="57" t="s">
        <v>573</v>
      </c>
      <c r="N92" s="689">
        <f>NSTonghop!AG92</f>
        <v>0</v>
      </c>
      <c r="O92" s="58" t="s">
        <v>573</v>
      </c>
      <c r="P92" s="57" t="s">
        <v>573</v>
      </c>
      <c r="Q92" s="60" t="s">
        <v>573</v>
      </c>
      <c r="R92" s="51" t="e">
        <f t="shared" si="50"/>
        <v>#VALUE!</v>
      </c>
      <c r="S92" s="52" t="e">
        <f t="shared" si="51"/>
        <v>#VALUE!</v>
      </c>
      <c r="T92" s="51" t="e">
        <f t="shared" si="36"/>
        <v>#VALUE!</v>
      </c>
      <c r="U92" s="52" t="e">
        <f t="shared" si="37"/>
        <v>#VALUE!</v>
      </c>
      <c r="V92" s="51" t="e">
        <f t="shared" si="38"/>
        <v>#VALUE!</v>
      </c>
      <c r="W92" s="52" t="e">
        <f t="shared" si="39"/>
        <v>#VALUE!</v>
      </c>
      <c r="X92" s="51" t="e">
        <f t="shared" si="40"/>
        <v>#VALUE!</v>
      </c>
      <c r="Y92" s="52" t="e">
        <f t="shared" si="41"/>
        <v>#VALUE!</v>
      </c>
      <c r="Z92" s="51" t="e">
        <f t="shared" si="42"/>
        <v>#VALUE!</v>
      </c>
      <c r="AA92" s="52" t="e">
        <f t="shared" si="43"/>
        <v>#VALUE!</v>
      </c>
      <c r="AB92" s="51" t="e">
        <f t="shared" si="44"/>
        <v>#VALUE!</v>
      </c>
      <c r="AC92" s="52" t="e">
        <f t="shared" si="45"/>
        <v>#VALUE!</v>
      </c>
      <c r="AD92" s="51" t="e">
        <f t="shared" si="46"/>
        <v>#VALUE!</v>
      </c>
      <c r="AE92" s="52" t="e">
        <f t="shared" si="47"/>
        <v>#VALUE!</v>
      </c>
      <c r="AF92" s="51" t="e">
        <f t="shared" si="48"/>
        <v>#VALUE!</v>
      </c>
      <c r="AG92" s="52" t="e">
        <f t="shared" si="49"/>
        <v>#VALUE!</v>
      </c>
      <c r="AH92" s="62"/>
    </row>
    <row r="93" spans="1:34" hidden="1" x14ac:dyDescent="0.25">
      <c r="A93" s="54">
        <f>IF(C93=0,0,MAX($A$8:A92)+1)</f>
        <v>0</v>
      </c>
      <c r="B93" s="55">
        <f>NSTonghop!E93</f>
        <v>0</v>
      </c>
      <c r="C93" s="55">
        <f>NSTonghop!F93</f>
        <v>0</v>
      </c>
      <c r="D93" s="56" t="s">
        <v>573</v>
      </c>
      <c r="E93" s="57" t="s">
        <v>573</v>
      </c>
      <c r="F93" s="57" t="s">
        <v>573</v>
      </c>
      <c r="G93" s="694">
        <f>NSTonghop!AL93</f>
        <v>0</v>
      </c>
      <c r="H93" s="56" t="s">
        <v>573</v>
      </c>
      <c r="I93" s="57" t="s">
        <v>573</v>
      </c>
      <c r="J93" s="59" t="s">
        <v>573</v>
      </c>
      <c r="K93" s="58" t="s">
        <v>573</v>
      </c>
      <c r="L93" s="58" t="s">
        <v>573</v>
      </c>
      <c r="M93" s="57" t="s">
        <v>573</v>
      </c>
      <c r="N93" s="689">
        <f>NSTonghop!AG93</f>
        <v>0</v>
      </c>
      <c r="O93" s="58" t="s">
        <v>573</v>
      </c>
      <c r="P93" s="57" t="s">
        <v>573</v>
      </c>
      <c r="Q93" s="60" t="s">
        <v>573</v>
      </c>
      <c r="R93" s="51" t="e">
        <f t="shared" si="50"/>
        <v>#VALUE!</v>
      </c>
      <c r="S93" s="52" t="e">
        <f t="shared" si="51"/>
        <v>#VALUE!</v>
      </c>
      <c r="T93" s="51" t="e">
        <f t="shared" si="36"/>
        <v>#VALUE!</v>
      </c>
      <c r="U93" s="52" t="e">
        <f t="shared" si="37"/>
        <v>#VALUE!</v>
      </c>
      <c r="V93" s="51" t="e">
        <f t="shared" si="38"/>
        <v>#VALUE!</v>
      </c>
      <c r="W93" s="52" t="e">
        <f t="shared" si="39"/>
        <v>#VALUE!</v>
      </c>
      <c r="X93" s="51" t="e">
        <f t="shared" si="40"/>
        <v>#VALUE!</v>
      </c>
      <c r="Y93" s="52" t="e">
        <f t="shared" si="41"/>
        <v>#VALUE!</v>
      </c>
      <c r="Z93" s="51" t="e">
        <f t="shared" si="42"/>
        <v>#VALUE!</v>
      </c>
      <c r="AA93" s="52" t="e">
        <f t="shared" si="43"/>
        <v>#VALUE!</v>
      </c>
      <c r="AB93" s="51" t="e">
        <f t="shared" si="44"/>
        <v>#VALUE!</v>
      </c>
      <c r="AC93" s="52" t="e">
        <f t="shared" si="45"/>
        <v>#VALUE!</v>
      </c>
      <c r="AD93" s="51" t="e">
        <f t="shared" si="46"/>
        <v>#VALUE!</v>
      </c>
      <c r="AE93" s="52" t="e">
        <f t="shared" si="47"/>
        <v>#VALUE!</v>
      </c>
      <c r="AF93" s="51" t="e">
        <f t="shared" si="48"/>
        <v>#VALUE!</v>
      </c>
      <c r="AG93" s="52" t="e">
        <f t="shared" si="49"/>
        <v>#VALUE!</v>
      </c>
      <c r="AH93" s="62"/>
    </row>
    <row r="94" spans="1:34" hidden="1" x14ac:dyDescent="0.25">
      <c r="A94" s="54">
        <f>IF(C94=0,0,MAX($A$8:A93)+1)</f>
        <v>0</v>
      </c>
      <c r="B94" s="55">
        <f>NSTonghop!E94</f>
        <v>0</v>
      </c>
      <c r="C94" s="55">
        <f>NSTonghop!F94</f>
        <v>0</v>
      </c>
      <c r="D94" s="56" t="s">
        <v>573</v>
      </c>
      <c r="E94" s="57" t="s">
        <v>573</v>
      </c>
      <c r="F94" s="57" t="s">
        <v>573</v>
      </c>
      <c r="G94" s="694">
        <f>NSTonghop!AL94</f>
        <v>0</v>
      </c>
      <c r="H94" s="56" t="s">
        <v>573</v>
      </c>
      <c r="I94" s="57" t="s">
        <v>573</v>
      </c>
      <c r="J94" s="59" t="s">
        <v>573</v>
      </c>
      <c r="K94" s="58" t="s">
        <v>573</v>
      </c>
      <c r="L94" s="58" t="s">
        <v>573</v>
      </c>
      <c r="M94" s="57" t="s">
        <v>573</v>
      </c>
      <c r="N94" s="689">
        <f>NSTonghop!AG94</f>
        <v>0</v>
      </c>
      <c r="O94" s="58" t="s">
        <v>573</v>
      </c>
      <c r="P94" s="57" t="s">
        <v>573</v>
      </c>
      <c r="Q94" s="60" t="s">
        <v>573</v>
      </c>
      <c r="R94" s="51" t="e">
        <f t="shared" si="50"/>
        <v>#VALUE!</v>
      </c>
      <c r="S94" s="52" t="e">
        <f t="shared" si="51"/>
        <v>#VALUE!</v>
      </c>
      <c r="T94" s="51" t="e">
        <f t="shared" si="36"/>
        <v>#VALUE!</v>
      </c>
      <c r="U94" s="52" t="e">
        <f t="shared" si="37"/>
        <v>#VALUE!</v>
      </c>
      <c r="V94" s="51" t="e">
        <f t="shared" si="38"/>
        <v>#VALUE!</v>
      </c>
      <c r="W94" s="52" t="e">
        <f t="shared" si="39"/>
        <v>#VALUE!</v>
      </c>
      <c r="X94" s="51" t="e">
        <f t="shared" si="40"/>
        <v>#VALUE!</v>
      </c>
      <c r="Y94" s="52" t="e">
        <f t="shared" si="41"/>
        <v>#VALUE!</v>
      </c>
      <c r="Z94" s="51" t="e">
        <f t="shared" si="42"/>
        <v>#VALUE!</v>
      </c>
      <c r="AA94" s="52" t="e">
        <f t="shared" si="43"/>
        <v>#VALUE!</v>
      </c>
      <c r="AB94" s="51" t="e">
        <f t="shared" si="44"/>
        <v>#VALUE!</v>
      </c>
      <c r="AC94" s="52" t="e">
        <f t="shared" si="45"/>
        <v>#VALUE!</v>
      </c>
      <c r="AD94" s="51" t="e">
        <f t="shared" si="46"/>
        <v>#VALUE!</v>
      </c>
      <c r="AE94" s="52" t="e">
        <f t="shared" si="47"/>
        <v>#VALUE!</v>
      </c>
      <c r="AF94" s="51" t="e">
        <f t="shared" si="48"/>
        <v>#VALUE!</v>
      </c>
      <c r="AG94" s="52" t="e">
        <f t="shared" si="49"/>
        <v>#VALUE!</v>
      </c>
      <c r="AH94" s="62"/>
    </row>
    <row r="95" spans="1:34" hidden="1" x14ac:dyDescent="0.25">
      <c r="A95" s="54">
        <f>IF(C95=0,0,MAX($A$8:A94)+1)</f>
        <v>0</v>
      </c>
      <c r="B95" s="55">
        <f>NSTonghop!E95</f>
        <v>0</v>
      </c>
      <c r="C95" s="55">
        <f>NSTonghop!F95</f>
        <v>0</v>
      </c>
      <c r="D95" s="56" t="s">
        <v>573</v>
      </c>
      <c r="E95" s="57" t="s">
        <v>573</v>
      </c>
      <c r="F95" s="57" t="s">
        <v>573</v>
      </c>
      <c r="G95" s="694">
        <f>NSTonghop!AL95</f>
        <v>0</v>
      </c>
      <c r="H95" s="56" t="s">
        <v>573</v>
      </c>
      <c r="I95" s="57" t="s">
        <v>573</v>
      </c>
      <c r="J95" s="59" t="s">
        <v>573</v>
      </c>
      <c r="K95" s="58" t="s">
        <v>573</v>
      </c>
      <c r="L95" s="58" t="s">
        <v>573</v>
      </c>
      <c r="M95" s="57" t="s">
        <v>573</v>
      </c>
      <c r="N95" s="689">
        <f>NSTonghop!AG95</f>
        <v>0</v>
      </c>
      <c r="O95" s="58" t="s">
        <v>573</v>
      </c>
      <c r="P95" s="57" t="s">
        <v>573</v>
      </c>
      <c r="Q95" s="60" t="s">
        <v>573</v>
      </c>
      <c r="R95" s="51" t="e">
        <f t="shared" si="50"/>
        <v>#VALUE!</v>
      </c>
      <c r="S95" s="52" t="e">
        <f t="shared" si="51"/>
        <v>#VALUE!</v>
      </c>
      <c r="T95" s="51" t="e">
        <f t="shared" si="36"/>
        <v>#VALUE!</v>
      </c>
      <c r="U95" s="52" t="e">
        <f t="shared" si="37"/>
        <v>#VALUE!</v>
      </c>
      <c r="V95" s="51" t="e">
        <f t="shared" si="38"/>
        <v>#VALUE!</v>
      </c>
      <c r="W95" s="52" t="e">
        <f t="shared" si="39"/>
        <v>#VALUE!</v>
      </c>
      <c r="X95" s="51" t="e">
        <f t="shared" si="40"/>
        <v>#VALUE!</v>
      </c>
      <c r="Y95" s="52" t="e">
        <f t="shared" si="41"/>
        <v>#VALUE!</v>
      </c>
      <c r="Z95" s="51" t="e">
        <f t="shared" si="42"/>
        <v>#VALUE!</v>
      </c>
      <c r="AA95" s="52" t="e">
        <f t="shared" si="43"/>
        <v>#VALUE!</v>
      </c>
      <c r="AB95" s="51" t="e">
        <f t="shared" si="44"/>
        <v>#VALUE!</v>
      </c>
      <c r="AC95" s="52" t="e">
        <f t="shared" si="45"/>
        <v>#VALUE!</v>
      </c>
      <c r="AD95" s="51" t="e">
        <f t="shared" si="46"/>
        <v>#VALUE!</v>
      </c>
      <c r="AE95" s="52" t="e">
        <f t="shared" si="47"/>
        <v>#VALUE!</v>
      </c>
      <c r="AF95" s="51" t="e">
        <f t="shared" si="48"/>
        <v>#VALUE!</v>
      </c>
      <c r="AG95" s="52" t="e">
        <f t="shared" si="49"/>
        <v>#VALUE!</v>
      </c>
      <c r="AH95" s="62"/>
    </row>
    <row r="96" spans="1:34" hidden="1" x14ac:dyDescent="0.25">
      <c r="A96" s="54">
        <f>IF(C96=0,0,MAX($A$8:A95)+1)</f>
        <v>0</v>
      </c>
      <c r="B96" s="55">
        <f>NSTonghop!E96</f>
        <v>0</v>
      </c>
      <c r="C96" s="55">
        <f>NSTonghop!F96</f>
        <v>0</v>
      </c>
      <c r="D96" s="56" t="s">
        <v>573</v>
      </c>
      <c r="E96" s="57" t="s">
        <v>573</v>
      </c>
      <c r="F96" s="57" t="s">
        <v>573</v>
      </c>
      <c r="G96" s="694">
        <f>NSTonghop!AL96</f>
        <v>0</v>
      </c>
      <c r="H96" s="56" t="s">
        <v>573</v>
      </c>
      <c r="I96" s="57" t="s">
        <v>573</v>
      </c>
      <c r="J96" s="59" t="s">
        <v>573</v>
      </c>
      <c r="K96" s="58" t="s">
        <v>573</v>
      </c>
      <c r="L96" s="58" t="s">
        <v>573</v>
      </c>
      <c r="M96" s="57" t="s">
        <v>573</v>
      </c>
      <c r="N96" s="689">
        <f>NSTonghop!AG96</f>
        <v>0</v>
      </c>
      <c r="O96" s="58" t="s">
        <v>573</v>
      </c>
      <c r="P96" s="57" t="s">
        <v>573</v>
      </c>
      <c r="Q96" s="60" t="s">
        <v>573</v>
      </c>
      <c r="R96" s="51" t="e">
        <f t="shared" si="50"/>
        <v>#VALUE!</v>
      </c>
      <c r="S96" s="52" t="e">
        <f t="shared" si="51"/>
        <v>#VALUE!</v>
      </c>
      <c r="T96" s="51" t="e">
        <f t="shared" si="36"/>
        <v>#VALUE!</v>
      </c>
      <c r="U96" s="52" t="e">
        <f t="shared" si="37"/>
        <v>#VALUE!</v>
      </c>
      <c r="V96" s="51" t="e">
        <f t="shared" si="38"/>
        <v>#VALUE!</v>
      </c>
      <c r="W96" s="52" t="e">
        <f t="shared" si="39"/>
        <v>#VALUE!</v>
      </c>
      <c r="X96" s="51" t="e">
        <f t="shared" si="40"/>
        <v>#VALUE!</v>
      </c>
      <c r="Y96" s="52" t="e">
        <f t="shared" si="41"/>
        <v>#VALUE!</v>
      </c>
      <c r="Z96" s="51" t="e">
        <f t="shared" si="42"/>
        <v>#VALUE!</v>
      </c>
      <c r="AA96" s="52" t="e">
        <f t="shared" si="43"/>
        <v>#VALUE!</v>
      </c>
      <c r="AB96" s="51" t="e">
        <f t="shared" si="44"/>
        <v>#VALUE!</v>
      </c>
      <c r="AC96" s="52" t="e">
        <f t="shared" si="45"/>
        <v>#VALUE!</v>
      </c>
      <c r="AD96" s="51" t="e">
        <f t="shared" si="46"/>
        <v>#VALUE!</v>
      </c>
      <c r="AE96" s="52" t="e">
        <f t="shared" si="47"/>
        <v>#VALUE!</v>
      </c>
      <c r="AF96" s="51" t="e">
        <f t="shared" si="48"/>
        <v>#VALUE!</v>
      </c>
      <c r="AG96" s="52" t="e">
        <f t="shared" si="49"/>
        <v>#VALUE!</v>
      </c>
      <c r="AH96" s="62"/>
    </row>
    <row r="97" spans="1:34" hidden="1" x14ac:dyDescent="0.25">
      <c r="A97" s="54">
        <f>IF(C97=0,0,MAX($A$8:A96)+1)</f>
        <v>0</v>
      </c>
      <c r="B97" s="55">
        <f>NSTonghop!E97</f>
        <v>0</v>
      </c>
      <c r="C97" s="55">
        <f>NSTonghop!F97</f>
        <v>0</v>
      </c>
      <c r="D97" s="56" t="s">
        <v>573</v>
      </c>
      <c r="E97" s="57" t="s">
        <v>573</v>
      </c>
      <c r="F97" s="57" t="s">
        <v>573</v>
      </c>
      <c r="G97" s="694">
        <f>NSTonghop!AL97</f>
        <v>0</v>
      </c>
      <c r="H97" s="56" t="s">
        <v>573</v>
      </c>
      <c r="I97" s="57" t="s">
        <v>573</v>
      </c>
      <c r="J97" s="59" t="s">
        <v>573</v>
      </c>
      <c r="K97" s="58" t="s">
        <v>573</v>
      </c>
      <c r="L97" s="58" t="s">
        <v>573</v>
      </c>
      <c r="M97" s="57" t="s">
        <v>573</v>
      </c>
      <c r="N97" s="689">
        <f>NSTonghop!AG97</f>
        <v>0</v>
      </c>
      <c r="O97" s="58" t="s">
        <v>573</v>
      </c>
      <c r="P97" s="57" t="s">
        <v>573</v>
      </c>
      <c r="Q97" s="60" t="s">
        <v>573</v>
      </c>
      <c r="R97" s="51" t="e">
        <f t="shared" si="50"/>
        <v>#VALUE!</v>
      </c>
      <c r="S97" s="52" t="e">
        <f t="shared" si="51"/>
        <v>#VALUE!</v>
      </c>
      <c r="T97" s="51" t="e">
        <f t="shared" si="36"/>
        <v>#VALUE!</v>
      </c>
      <c r="U97" s="52" t="e">
        <f t="shared" si="37"/>
        <v>#VALUE!</v>
      </c>
      <c r="V97" s="51" t="e">
        <f t="shared" si="38"/>
        <v>#VALUE!</v>
      </c>
      <c r="W97" s="52" t="e">
        <f t="shared" si="39"/>
        <v>#VALUE!</v>
      </c>
      <c r="X97" s="51" t="e">
        <f t="shared" si="40"/>
        <v>#VALUE!</v>
      </c>
      <c r="Y97" s="52" t="e">
        <f t="shared" si="41"/>
        <v>#VALUE!</v>
      </c>
      <c r="Z97" s="51" t="e">
        <f t="shared" si="42"/>
        <v>#VALUE!</v>
      </c>
      <c r="AA97" s="52" t="e">
        <f t="shared" si="43"/>
        <v>#VALUE!</v>
      </c>
      <c r="AB97" s="51" t="e">
        <f t="shared" si="44"/>
        <v>#VALUE!</v>
      </c>
      <c r="AC97" s="52" t="e">
        <f t="shared" si="45"/>
        <v>#VALUE!</v>
      </c>
      <c r="AD97" s="51" t="e">
        <f t="shared" si="46"/>
        <v>#VALUE!</v>
      </c>
      <c r="AE97" s="52" t="e">
        <f t="shared" si="47"/>
        <v>#VALUE!</v>
      </c>
      <c r="AF97" s="51" t="e">
        <f t="shared" si="48"/>
        <v>#VALUE!</v>
      </c>
      <c r="AG97" s="52" t="e">
        <f t="shared" si="49"/>
        <v>#VALUE!</v>
      </c>
      <c r="AH97" s="62"/>
    </row>
    <row r="98" spans="1:34" hidden="1" x14ac:dyDescent="0.25">
      <c r="A98" s="54">
        <f>IF(C98=0,0,MAX($A$8:A97)+1)</f>
        <v>0</v>
      </c>
      <c r="B98" s="55">
        <f>NSTonghop!E98</f>
        <v>0</v>
      </c>
      <c r="C98" s="55">
        <f>NSTonghop!F98</f>
        <v>0</v>
      </c>
      <c r="D98" s="56" t="s">
        <v>573</v>
      </c>
      <c r="E98" s="57" t="s">
        <v>573</v>
      </c>
      <c r="F98" s="57" t="s">
        <v>573</v>
      </c>
      <c r="G98" s="694">
        <f>NSTonghop!AL98</f>
        <v>0</v>
      </c>
      <c r="H98" s="56" t="s">
        <v>573</v>
      </c>
      <c r="I98" s="57" t="s">
        <v>573</v>
      </c>
      <c r="J98" s="59" t="s">
        <v>573</v>
      </c>
      <c r="K98" s="58" t="s">
        <v>573</v>
      </c>
      <c r="L98" s="58" t="s">
        <v>573</v>
      </c>
      <c r="M98" s="57" t="s">
        <v>573</v>
      </c>
      <c r="N98" s="689">
        <f>NSTonghop!AG98</f>
        <v>0</v>
      </c>
      <c r="O98" s="58" t="s">
        <v>573</v>
      </c>
      <c r="P98" s="57" t="s">
        <v>573</v>
      </c>
      <c r="Q98" s="60" t="s">
        <v>573</v>
      </c>
      <c r="R98" s="51" t="e">
        <f t="shared" si="50"/>
        <v>#VALUE!</v>
      </c>
      <c r="S98" s="52" t="e">
        <f t="shared" si="51"/>
        <v>#VALUE!</v>
      </c>
      <c r="T98" s="51" t="e">
        <f t="shared" si="36"/>
        <v>#VALUE!</v>
      </c>
      <c r="U98" s="52" t="e">
        <f t="shared" si="37"/>
        <v>#VALUE!</v>
      </c>
      <c r="V98" s="51" t="e">
        <f t="shared" si="38"/>
        <v>#VALUE!</v>
      </c>
      <c r="W98" s="52" t="e">
        <f t="shared" si="39"/>
        <v>#VALUE!</v>
      </c>
      <c r="X98" s="51" t="e">
        <f t="shared" si="40"/>
        <v>#VALUE!</v>
      </c>
      <c r="Y98" s="52" t="e">
        <f t="shared" si="41"/>
        <v>#VALUE!</v>
      </c>
      <c r="Z98" s="51" t="e">
        <f t="shared" si="42"/>
        <v>#VALUE!</v>
      </c>
      <c r="AA98" s="52" t="e">
        <f t="shared" si="43"/>
        <v>#VALUE!</v>
      </c>
      <c r="AB98" s="51" t="e">
        <f t="shared" si="44"/>
        <v>#VALUE!</v>
      </c>
      <c r="AC98" s="52" t="e">
        <f t="shared" si="45"/>
        <v>#VALUE!</v>
      </c>
      <c r="AD98" s="51" t="e">
        <f t="shared" si="46"/>
        <v>#VALUE!</v>
      </c>
      <c r="AE98" s="52" t="e">
        <f t="shared" si="47"/>
        <v>#VALUE!</v>
      </c>
      <c r="AF98" s="51" t="e">
        <f t="shared" si="48"/>
        <v>#VALUE!</v>
      </c>
      <c r="AG98" s="52" t="e">
        <f t="shared" si="49"/>
        <v>#VALUE!</v>
      </c>
      <c r="AH98" s="62"/>
    </row>
    <row r="99" spans="1:34" hidden="1" x14ac:dyDescent="0.25">
      <c r="A99" s="54">
        <f>IF(C99=0,0,MAX($A$8:A98)+1)</f>
        <v>0</v>
      </c>
      <c r="B99" s="55">
        <f>NSTonghop!E99</f>
        <v>0</v>
      </c>
      <c r="C99" s="55">
        <f>NSTonghop!F99</f>
        <v>0</v>
      </c>
      <c r="D99" s="56" t="s">
        <v>573</v>
      </c>
      <c r="E99" s="57" t="s">
        <v>573</v>
      </c>
      <c r="F99" s="57" t="s">
        <v>573</v>
      </c>
      <c r="G99" s="694">
        <f>NSTonghop!AL99</f>
        <v>0</v>
      </c>
      <c r="H99" s="56" t="s">
        <v>573</v>
      </c>
      <c r="I99" s="57" t="s">
        <v>573</v>
      </c>
      <c r="J99" s="59" t="s">
        <v>573</v>
      </c>
      <c r="K99" s="58" t="s">
        <v>573</v>
      </c>
      <c r="L99" s="58" t="s">
        <v>573</v>
      </c>
      <c r="M99" s="57" t="s">
        <v>573</v>
      </c>
      <c r="N99" s="689">
        <f>NSTonghop!AG99</f>
        <v>0</v>
      </c>
      <c r="O99" s="58" t="s">
        <v>573</v>
      </c>
      <c r="P99" s="57" t="s">
        <v>573</v>
      </c>
      <c r="Q99" s="60" t="s">
        <v>573</v>
      </c>
      <c r="R99" s="51" t="e">
        <f t="shared" si="50"/>
        <v>#VALUE!</v>
      </c>
      <c r="S99" s="52" t="e">
        <f t="shared" si="51"/>
        <v>#VALUE!</v>
      </c>
      <c r="T99" s="51" t="e">
        <f t="shared" si="36"/>
        <v>#VALUE!</v>
      </c>
      <c r="U99" s="52" t="e">
        <f t="shared" si="37"/>
        <v>#VALUE!</v>
      </c>
      <c r="V99" s="51" t="e">
        <f t="shared" si="38"/>
        <v>#VALUE!</v>
      </c>
      <c r="W99" s="52" t="e">
        <f t="shared" si="39"/>
        <v>#VALUE!</v>
      </c>
      <c r="X99" s="51" t="e">
        <f t="shared" si="40"/>
        <v>#VALUE!</v>
      </c>
      <c r="Y99" s="52" t="e">
        <f t="shared" si="41"/>
        <v>#VALUE!</v>
      </c>
      <c r="Z99" s="51" t="e">
        <f t="shared" si="42"/>
        <v>#VALUE!</v>
      </c>
      <c r="AA99" s="52" t="e">
        <f t="shared" si="43"/>
        <v>#VALUE!</v>
      </c>
      <c r="AB99" s="51" t="e">
        <f t="shared" si="44"/>
        <v>#VALUE!</v>
      </c>
      <c r="AC99" s="52" t="e">
        <f t="shared" si="45"/>
        <v>#VALUE!</v>
      </c>
      <c r="AD99" s="51" t="e">
        <f t="shared" si="46"/>
        <v>#VALUE!</v>
      </c>
      <c r="AE99" s="52" t="e">
        <f t="shared" si="47"/>
        <v>#VALUE!</v>
      </c>
      <c r="AF99" s="51" t="e">
        <f t="shared" si="48"/>
        <v>#VALUE!</v>
      </c>
      <c r="AG99" s="52" t="e">
        <f t="shared" si="49"/>
        <v>#VALUE!</v>
      </c>
      <c r="AH99" s="62"/>
    </row>
    <row r="100" spans="1:34" hidden="1" x14ac:dyDescent="0.25">
      <c r="A100" s="54">
        <f>IF(C100=0,0,MAX($A$8:A99)+1)</f>
        <v>0</v>
      </c>
      <c r="B100" s="55">
        <f>NSTonghop!E100</f>
        <v>0</v>
      </c>
      <c r="C100" s="55">
        <f>NSTonghop!F100</f>
        <v>0</v>
      </c>
      <c r="D100" s="56" t="s">
        <v>573</v>
      </c>
      <c r="E100" s="57" t="s">
        <v>573</v>
      </c>
      <c r="F100" s="57" t="s">
        <v>573</v>
      </c>
      <c r="G100" s="694">
        <f>NSTonghop!AL100</f>
        <v>0</v>
      </c>
      <c r="H100" s="56" t="s">
        <v>573</v>
      </c>
      <c r="I100" s="57" t="s">
        <v>573</v>
      </c>
      <c r="J100" s="59" t="s">
        <v>573</v>
      </c>
      <c r="K100" s="58" t="s">
        <v>573</v>
      </c>
      <c r="L100" s="58" t="s">
        <v>573</v>
      </c>
      <c r="M100" s="57" t="s">
        <v>573</v>
      </c>
      <c r="N100" s="689">
        <f>NSTonghop!AG100</f>
        <v>0</v>
      </c>
      <c r="O100" s="58" t="s">
        <v>573</v>
      </c>
      <c r="P100" s="57" t="s">
        <v>573</v>
      </c>
      <c r="Q100" s="60" t="s">
        <v>573</v>
      </c>
      <c r="R100" s="51" t="e">
        <f t="shared" si="50"/>
        <v>#VALUE!</v>
      </c>
      <c r="S100" s="52" t="e">
        <f t="shared" si="51"/>
        <v>#VALUE!</v>
      </c>
      <c r="T100" s="51" t="e">
        <f t="shared" si="36"/>
        <v>#VALUE!</v>
      </c>
      <c r="U100" s="52" t="e">
        <f t="shared" si="37"/>
        <v>#VALUE!</v>
      </c>
      <c r="V100" s="51" t="e">
        <f t="shared" si="38"/>
        <v>#VALUE!</v>
      </c>
      <c r="W100" s="52" t="e">
        <f t="shared" si="39"/>
        <v>#VALUE!</v>
      </c>
      <c r="X100" s="51" t="e">
        <f t="shared" si="40"/>
        <v>#VALUE!</v>
      </c>
      <c r="Y100" s="52" t="e">
        <f t="shared" si="41"/>
        <v>#VALUE!</v>
      </c>
      <c r="Z100" s="51" t="e">
        <f t="shared" si="42"/>
        <v>#VALUE!</v>
      </c>
      <c r="AA100" s="52" t="e">
        <f t="shared" si="43"/>
        <v>#VALUE!</v>
      </c>
      <c r="AB100" s="51" t="e">
        <f t="shared" si="44"/>
        <v>#VALUE!</v>
      </c>
      <c r="AC100" s="52" t="e">
        <f t="shared" si="45"/>
        <v>#VALUE!</v>
      </c>
      <c r="AD100" s="51" t="e">
        <f t="shared" si="46"/>
        <v>#VALUE!</v>
      </c>
      <c r="AE100" s="52" t="e">
        <f t="shared" si="47"/>
        <v>#VALUE!</v>
      </c>
      <c r="AF100" s="51" t="e">
        <f t="shared" si="48"/>
        <v>#VALUE!</v>
      </c>
      <c r="AG100" s="52" t="e">
        <f t="shared" si="49"/>
        <v>#VALUE!</v>
      </c>
      <c r="AH100" s="62"/>
    </row>
    <row r="101" spans="1:34" hidden="1" x14ac:dyDescent="0.25">
      <c r="A101" s="54">
        <f>IF(C101=0,0,MAX($A$8:A100)+1)</f>
        <v>0</v>
      </c>
      <c r="B101" s="55">
        <f>NSTonghop!E101</f>
        <v>0</v>
      </c>
      <c r="C101" s="55">
        <f>NSTonghop!F101</f>
        <v>0</v>
      </c>
      <c r="D101" s="56" t="s">
        <v>573</v>
      </c>
      <c r="E101" s="57" t="s">
        <v>573</v>
      </c>
      <c r="F101" s="57" t="s">
        <v>573</v>
      </c>
      <c r="G101" s="694">
        <f>NSTonghop!AL101</f>
        <v>0</v>
      </c>
      <c r="H101" s="56" t="s">
        <v>573</v>
      </c>
      <c r="I101" s="57" t="s">
        <v>573</v>
      </c>
      <c r="J101" s="59" t="s">
        <v>573</v>
      </c>
      <c r="K101" s="58" t="s">
        <v>573</v>
      </c>
      <c r="L101" s="58" t="s">
        <v>573</v>
      </c>
      <c r="M101" s="57" t="s">
        <v>573</v>
      </c>
      <c r="N101" s="689">
        <f>NSTonghop!AG101</f>
        <v>0</v>
      </c>
      <c r="O101" s="58" t="s">
        <v>573</v>
      </c>
      <c r="P101" s="57" t="s">
        <v>573</v>
      </c>
      <c r="Q101" s="60" t="s">
        <v>573</v>
      </c>
      <c r="R101" s="51" t="e">
        <f t="shared" si="50"/>
        <v>#VALUE!</v>
      </c>
      <c r="S101" s="52" t="e">
        <f t="shared" si="51"/>
        <v>#VALUE!</v>
      </c>
      <c r="T101" s="51" t="e">
        <f t="shared" si="36"/>
        <v>#VALUE!</v>
      </c>
      <c r="U101" s="52" t="e">
        <f t="shared" si="37"/>
        <v>#VALUE!</v>
      </c>
      <c r="V101" s="51" t="e">
        <f t="shared" si="38"/>
        <v>#VALUE!</v>
      </c>
      <c r="W101" s="52" t="e">
        <f t="shared" si="39"/>
        <v>#VALUE!</v>
      </c>
      <c r="X101" s="51" t="e">
        <f t="shared" si="40"/>
        <v>#VALUE!</v>
      </c>
      <c r="Y101" s="52" t="e">
        <f t="shared" si="41"/>
        <v>#VALUE!</v>
      </c>
      <c r="Z101" s="51" t="e">
        <f t="shared" si="42"/>
        <v>#VALUE!</v>
      </c>
      <c r="AA101" s="52" t="e">
        <f t="shared" si="43"/>
        <v>#VALUE!</v>
      </c>
      <c r="AB101" s="51" t="e">
        <f t="shared" si="44"/>
        <v>#VALUE!</v>
      </c>
      <c r="AC101" s="52" t="e">
        <f t="shared" si="45"/>
        <v>#VALUE!</v>
      </c>
      <c r="AD101" s="51" t="e">
        <f t="shared" si="46"/>
        <v>#VALUE!</v>
      </c>
      <c r="AE101" s="52" t="e">
        <f t="shared" si="47"/>
        <v>#VALUE!</v>
      </c>
      <c r="AF101" s="51" t="e">
        <f t="shared" si="48"/>
        <v>#VALUE!</v>
      </c>
      <c r="AG101" s="52" t="e">
        <f t="shared" si="49"/>
        <v>#VALUE!</v>
      </c>
      <c r="AH101" s="62"/>
    </row>
    <row r="102" spans="1:34" hidden="1" x14ac:dyDescent="0.25">
      <c r="A102" s="54">
        <f>IF(C102=0,0,MAX($A$8:A101)+1)</f>
        <v>0</v>
      </c>
      <c r="B102" s="55">
        <f>NSTonghop!E102</f>
        <v>0</v>
      </c>
      <c r="C102" s="55">
        <f>NSTonghop!F102</f>
        <v>0</v>
      </c>
      <c r="D102" s="56" t="s">
        <v>573</v>
      </c>
      <c r="E102" s="57" t="s">
        <v>573</v>
      </c>
      <c r="F102" s="57" t="s">
        <v>573</v>
      </c>
      <c r="G102" s="694">
        <f>NSTonghop!AL102</f>
        <v>0</v>
      </c>
      <c r="H102" s="56" t="s">
        <v>573</v>
      </c>
      <c r="I102" s="57" t="s">
        <v>573</v>
      </c>
      <c r="J102" s="59" t="s">
        <v>573</v>
      </c>
      <c r="K102" s="58" t="s">
        <v>573</v>
      </c>
      <c r="L102" s="58" t="s">
        <v>573</v>
      </c>
      <c r="M102" s="57" t="s">
        <v>573</v>
      </c>
      <c r="N102" s="689">
        <f>NSTonghop!AG102</f>
        <v>0</v>
      </c>
      <c r="O102" s="58" t="s">
        <v>573</v>
      </c>
      <c r="P102" s="57" t="s">
        <v>573</v>
      </c>
      <c r="Q102" s="60" t="s">
        <v>573</v>
      </c>
      <c r="R102" s="51" t="e">
        <f t="shared" si="50"/>
        <v>#VALUE!</v>
      </c>
      <c r="S102" s="52" t="e">
        <f t="shared" si="51"/>
        <v>#VALUE!</v>
      </c>
      <c r="T102" s="51" t="e">
        <f t="shared" si="36"/>
        <v>#VALUE!</v>
      </c>
      <c r="U102" s="52" t="e">
        <f t="shared" si="37"/>
        <v>#VALUE!</v>
      </c>
      <c r="V102" s="51" t="e">
        <f t="shared" si="38"/>
        <v>#VALUE!</v>
      </c>
      <c r="W102" s="52" t="e">
        <f t="shared" si="39"/>
        <v>#VALUE!</v>
      </c>
      <c r="X102" s="51" t="e">
        <f t="shared" si="40"/>
        <v>#VALUE!</v>
      </c>
      <c r="Y102" s="52" t="e">
        <f t="shared" si="41"/>
        <v>#VALUE!</v>
      </c>
      <c r="Z102" s="51" t="e">
        <f t="shared" si="42"/>
        <v>#VALUE!</v>
      </c>
      <c r="AA102" s="52" t="e">
        <f t="shared" si="43"/>
        <v>#VALUE!</v>
      </c>
      <c r="AB102" s="51" t="e">
        <f t="shared" si="44"/>
        <v>#VALUE!</v>
      </c>
      <c r="AC102" s="52" t="e">
        <f t="shared" si="45"/>
        <v>#VALUE!</v>
      </c>
      <c r="AD102" s="51" t="e">
        <f t="shared" si="46"/>
        <v>#VALUE!</v>
      </c>
      <c r="AE102" s="52" t="e">
        <f t="shared" si="47"/>
        <v>#VALUE!</v>
      </c>
      <c r="AF102" s="51" t="e">
        <f t="shared" si="48"/>
        <v>#VALUE!</v>
      </c>
      <c r="AG102" s="52" t="e">
        <f t="shared" si="49"/>
        <v>#VALUE!</v>
      </c>
      <c r="AH102" s="62"/>
    </row>
    <row r="103" spans="1:34" hidden="1" x14ac:dyDescent="0.25">
      <c r="A103" s="54">
        <f>IF(C103=0,0,MAX($A$8:A102)+1)</f>
        <v>0</v>
      </c>
      <c r="B103" s="55">
        <f>NSTonghop!E103</f>
        <v>0</v>
      </c>
      <c r="C103" s="55">
        <f>NSTonghop!F103</f>
        <v>0</v>
      </c>
      <c r="D103" s="56" t="s">
        <v>573</v>
      </c>
      <c r="E103" s="57" t="s">
        <v>573</v>
      </c>
      <c r="F103" s="57" t="s">
        <v>573</v>
      </c>
      <c r="G103" s="694">
        <f>NSTonghop!AL103</f>
        <v>0</v>
      </c>
      <c r="H103" s="56" t="s">
        <v>573</v>
      </c>
      <c r="I103" s="57" t="s">
        <v>573</v>
      </c>
      <c r="J103" s="59" t="s">
        <v>573</v>
      </c>
      <c r="K103" s="58" t="s">
        <v>573</v>
      </c>
      <c r="L103" s="58" t="s">
        <v>573</v>
      </c>
      <c r="M103" s="57" t="s">
        <v>573</v>
      </c>
      <c r="N103" s="689">
        <f>NSTonghop!AG103</f>
        <v>0</v>
      </c>
      <c r="O103" s="58" t="s">
        <v>573</v>
      </c>
      <c r="P103" s="57" t="s">
        <v>573</v>
      </c>
      <c r="Q103" s="60" t="s">
        <v>573</v>
      </c>
      <c r="R103" s="51" t="e">
        <f t="shared" si="50"/>
        <v>#VALUE!</v>
      </c>
      <c r="S103" s="52" t="e">
        <f t="shared" si="51"/>
        <v>#VALUE!</v>
      </c>
      <c r="T103" s="51" t="e">
        <f t="shared" si="36"/>
        <v>#VALUE!</v>
      </c>
      <c r="U103" s="52" t="e">
        <f t="shared" si="37"/>
        <v>#VALUE!</v>
      </c>
      <c r="V103" s="51" t="e">
        <f t="shared" si="38"/>
        <v>#VALUE!</v>
      </c>
      <c r="W103" s="52" t="e">
        <f t="shared" si="39"/>
        <v>#VALUE!</v>
      </c>
      <c r="X103" s="51" t="e">
        <f t="shared" si="40"/>
        <v>#VALUE!</v>
      </c>
      <c r="Y103" s="52" t="e">
        <f t="shared" si="41"/>
        <v>#VALUE!</v>
      </c>
      <c r="Z103" s="51" t="e">
        <f t="shared" si="42"/>
        <v>#VALUE!</v>
      </c>
      <c r="AA103" s="52" t="e">
        <f t="shared" si="43"/>
        <v>#VALUE!</v>
      </c>
      <c r="AB103" s="51" t="e">
        <f t="shared" si="44"/>
        <v>#VALUE!</v>
      </c>
      <c r="AC103" s="52" t="e">
        <f t="shared" si="45"/>
        <v>#VALUE!</v>
      </c>
      <c r="AD103" s="51" t="e">
        <f t="shared" si="46"/>
        <v>#VALUE!</v>
      </c>
      <c r="AE103" s="52" t="e">
        <f t="shared" si="47"/>
        <v>#VALUE!</v>
      </c>
      <c r="AF103" s="51" t="e">
        <f t="shared" si="48"/>
        <v>#VALUE!</v>
      </c>
      <c r="AG103" s="52" t="e">
        <f t="shared" si="49"/>
        <v>#VALUE!</v>
      </c>
      <c r="AH103" s="62"/>
    </row>
    <row r="104" spans="1:34" hidden="1" x14ac:dyDescent="0.25">
      <c r="A104" s="54">
        <f>IF(C104=0,0,MAX($A$8:A103)+1)</f>
        <v>0</v>
      </c>
      <c r="B104" s="55">
        <f>NSTonghop!E104</f>
        <v>0</v>
      </c>
      <c r="C104" s="55">
        <f>NSTonghop!F104</f>
        <v>0</v>
      </c>
      <c r="D104" s="56" t="s">
        <v>573</v>
      </c>
      <c r="E104" s="57" t="s">
        <v>573</v>
      </c>
      <c r="F104" s="57" t="s">
        <v>573</v>
      </c>
      <c r="G104" s="694">
        <f>NSTonghop!AL104</f>
        <v>0</v>
      </c>
      <c r="H104" s="56" t="s">
        <v>573</v>
      </c>
      <c r="I104" s="57" t="s">
        <v>573</v>
      </c>
      <c r="J104" s="59" t="s">
        <v>573</v>
      </c>
      <c r="K104" s="58" t="s">
        <v>573</v>
      </c>
      <c r="L104" s="58" t="s">
        <v>573</v>
      </c>
      <c r="M104" s="57" t="s">
        <v>573</v>
      </c>
      <c r="N104" s="689">
        <f>NSTonghop!AG104</f>
        <v>0</v>
      </c>
      <c r="O104" s="58" t="s">
        <v>573</v>
      </c>
      <c r="P104" s="57" t="s">
        <v>573</v>
      </c>
      <c r="Q104" s="60" t="s">
        <v>573</v>
      </c>
      <c r="R104" s="51" t="e">
        <f t="shared" si="50"/>
        <v>#VALUE!</v>
      </c>
      <c r="S104" s="52" t="e">
        <f t="shared" si="51"/>
        <v>#VALUE!</v>
      </c>
      <c r="T104" s="51" t="e">
        <f t="shared" si="36"/>
        <v>#VALUE!</v>
      </c>
      <c r="U104" s="52" t="e">
        <f t="shared" si="37"/>
        <v>#VALUE!</v>
      </c>
      <c r="V104" s="51" t="e">
        <f t="shared" si="38"/>
        <v>#VALUE!</v>
      </c>
      <c r="W104" s="52" t="e">
        <f t="shared" si="39"/>
        <v>#VALUE!</v>
      </c>
      <c r="X104" s="51" t="e">
        <f t="shared" si="40"/>
        <v>#VALUE!</v>
      </c>
      <c r="Y104" s="52" t="e">
        <f t="shared" si="41"/>
        <v>#VALUE!</v>
      </c>
      <c r="Z104" s="51" t="e">
        <f t="shared" si="42"/>
        <v>#VALUE!</v>
      </c>
      <c r="AA104" s="52" t="e">
        <f t="shared" si="43"/>
        <v>#VALUE!</v>
      </c>
      <c r="AB104" s="51" t="e">
        <f t="shared" si="44"/>
        <v>#VALUE!</v>
      </c>
      <c r="AC104" s="52" t="e">
        <f t="shared" si="45"/>
        <v>#VALUE!</v>
      </c>
      <c r="AD104" s="51" t="e">
        <f t="shared" si="46"/>
        <v>#VALUE!</v>
      </c>
      <c r="AE104" s="52" t="e">
        <f t="shared" si="47"/>
        <v>#VALUE!</v>
      </c>
      <c r="AF104" s="51" t="e">
        <f t="shared" si="48"/>
        <v>#VALUE!</v>
      </c>
      <c r="AG104" s="52" t="e">
        <f t="shared" si="49"/>
        <v>#VALUE!</v>
      </c>
      <c r="AH104" s="62"/>
    </row>
    <row r="105" spans="1:34" hidden="1" x14ac:dyDescent="0.25">
      <c r="A105" s="54">
        <f>IF(C105=0,0,MAX($A$8:A104)+1)</f>
        <v>0</v>
      </c>
      <c r="B105" s="55">
        <f>NSTonghop!E105</f>
        <v>0</v>
      </c>
      <c r="C105" s="55">
        <f>NSTonghop!F105</f>
        <v>0</v>
      </c>
      <c r="D105" s="56" t="s">
        <v>573</v>
      </c>
      <c r="E105" s="57" t="s">
        <v>573</v>
      </c>
      <c r="F105" s="57" t="s">
        <v>573</v>
      </c>
      <c r="G105" s="694">
        <f>NSTonghop!AL105</f>
        <v>0</v>
      </c>
      <c r="H105" s="56" t="s">
        <v>573</v>
      </c>
      <c r="I105" s="57" t="s">
        <v>573</v>
      </c>
      <c r="J105" s="59" t="s">
        <v>573</v>
      </c>
      <c r="K105" s="58" t="s">
        <v>573</v>
      </c>
      <c r="L105" s="58" t="s">
        <v>573</v>
      </c>
      <c r="M105" s="57" t="s">
        <v>573</v>
      </c>
      <c r="N105" s="689">
        <f>NSTonghop!AG105</f>
        <v>0</v>
      </c>
      <c r="O105" s="58" t="s">
        <v>573</v>
      </c>
      <c r="P105" s="57" t="s">
        <v>573</v>
      </c>
      <c r="Q105" s="60" t="s">
        <v>573</v>
      </c>
      <c r="R105" s="51" t="e">
        <f t="shared" si="50"/>
        <v>#VALUE!</v>
      </c>
      <c r="S105" s="52" t="e">
        <f t="shared" si="51"/>
        <v>#VALUE!</v>
      </c>
      <c r="T105" s="51" t="e">
        <f t="shared" si="36"/>
        <v>#VALUE!</v>
      </c>
      <c r="U105" s="52" t="e">
        <f t="shared" si="37"/>
        <v>#VALUE!</v>
      </c>
      <c r="V105" s="51" t="e">
        <f t="shared" si="38"/>
        <v>#VALUE!</v>
      </c>
      <c r="W105" s="52" t="e">
        <f t="shared" si="39"/>
        <v>#VALUE!</v>
      </c>
      <c r="X105" s="51" t="e">
        <f t="shared" si="40"/>
        <v>#VALUE!</v>
      </c>
      <c r="Y105" s="52" t="e">
        <f t="shared" si="41"/>
        <v>#VALUE!</v>
      </c>
      <c r="Z105" s="51" t="e">
        <f t="shared" si="42"/>
        <v>#VALUE!</v>
      </c>
      <c r="AA105" s="52" t="e">
        <f t="shared" si="43"/>
        <v>#VALUE!</v>
      </c>
      <c r="AB105" s="51" t="e">
        <f t="shared" si="44"/>
        <v>#VALUE!</v>
      </c>
      <c r="AC105" s="52" t="e">
        <f t="shared" si="45"/>
        <v>#VALUE!</v>
      </c>
      <c r="AD105" s="51" t="e">
        <f t="shared" si="46"/>
        <v>#VALUE!</v>
      </c>
      <c r="AE105" s="52" t="e">
        <f t="shared" si="47"/>
        <v>#VALUE!</v>
      </c>
      <c r="AF105" s="51" t="e">
        <f t="shared" si="48"/>
        <v>#VALUE!</v>
      </c>
      <c r="AG105" s="52" t="e">
        <f t="shared" si="49"/>
        <v>#VALUE!</v>
      </c>
      <c r="AH105" s="62"/>
    </row>
    <row r="106" spans="1:34" x14ac:dyDescent="0.25">
      <c r="A106" s="54">
        <f>IF(C106=0,0,MAX($A$8:A105)+1)</f>
        <v>0</v>
      </c>
      <c r="B106" s="443">
        <f>NSTonghop!E106</f>
        <v>0</v>
      </c>
      <c r="C106" s="443">
        <f>NSTonghop!F106</f>
        <v>0</v>
      </c>
      <c r="D106" s="444" t="s">
        <v>573</v>
      </c>
      <c r="E106" s="445" t="s">
        <v>573</v>
      </c>
      <c r="F106" s="445" t="s">
        <v>573</v>
      </c>
      <c r="G106" s="694">
        <f>NSTonghop!AL106</f>
        <v>0</v>
      </c>
      <c r="H106" s="444" t="s">
        <v>573</v>
      </c>
      <c r="I106" s="445" t="s">
        <v>573</v>
      </c>
      <c r="J106" s="447" t="s">
        <v>573</v>
      </c>
      <c r="K106" s="446" t="s">
        <v>573</v>
      </c>
      <c r="L106" s="446" t="s">
        <v>573</v>
      </c>
      <c r="M106" s="445" t="s">
        <v>573</v>
      </c>
      <c r="N106" s="689">
        <f>NSTonghop!AG106</f>
        <v>0</v>
      </c>
      <c r="O106" s="446" t="s">
        <v>573</v>
      </c>
      <c r="P106" s="445" t="s">
        <v>573</v>
      </c>
      <c r="Q106" s="448" t="s">
        <v>573</v>
      </c>
      <c r="R106" s="449" t="e">
        <f t="shared" si="50"/>
        <v>#VALUE!</v>
      </c>
      <c r="S106" s="450" t="e">
        <f t="shared" si="51"/>
        <v>#VALUE!</v>
      </c>
      <c r="T106" s="449" t="e">
        <f t="shared" si="36"/>
        <v>#VALUE!</v>
      </c>
      <c r="U106" s="450" t="e">
        <f t="shared" si="37"/>
        <v>#VALUE!</v>
      </c>
      <c r="V106" s="449" t="e">
        <f t="shared" si="38"/>
        <v>#VALUE!</v>
      </c>
      <c r="W106" s="450" t="e">
        <f t="shared" si="39"/>
        <v>#VALUE!</v>
      </c>
      <c r="X106" s="449" t="e">
        <f t="shared" si="40"/>
        <v>#VALUE!</v>
      </c>
      <c r="Y106" s="450" t="e">
        <f t="shared" si="41"/>
        <v>#VALUE!</v>
      </c>
      <c r="Z106" s="449" t="e">
        <f t="shared" si="42"/>
        <v>#VALUE!</v>
      </c>
      <c r="AA106" s="450" t="e">
        <f t="shared" si="43"/>
        <v>#VALUE!</v>
      </c>
      <c r="AB106" s="449" t="e">
        <f t="shared" si="44"/>
        <v>#VALUE!</v>
      </c>
      <c r="AC106" s="450" t="e">
        <f t="shared" si="45"/>
        <v>#VALUE!</v>
      </c>
      <c r="AD106" s="449" t="e">
        <f t="shared" si="46"/>
        <v>#VALUE!</v>
      </c>
      <c r="AE106" s="450" t="e">
        <f t="shared" si="47"/>
        <v>#VALUE!</v>
      </c>
      <c r="AF106" s="449" t="e">
        <f t="shared" si="48"/>
        <v>#VALUE!</v>
      </c>
      <c r="AG106" s="450" t="e">
        <f t="shared" si="49"/>
        <v>#VALUE!</v>
      </c>
      <c r="AH106" s="451"/>
    </row>
    <row r="107" spans="1:34" x14ac:dyDescent="0.25">
      <c r="A107" s="452"/>
      <c r="B107" s="453" t="str">
        <f>IF(NSTonghop!E107="","",NSTonghop!E107)</f>
        <v/>
      </c>
      <c r="C107" s="453" t="str">
        <f>IF(NSTonghop!F107="","",NSTonghop!F107)</f>
        <v>Cộng</v>
      </c>
      <c r="D107" s="454" t="s">
        <v>573</v>
      </c>
      <c r="E107" s="455" t="s">
        <v>573</v>
      </c>
      <c r="F107" s="455" t="s">
        <v>573</v>
      </c>
      <c r="G107" s="456" t="s">
        <v>573</v>
      </c>
      <c r="H107" s="454" t="s">
        <v>573</v>
      </c>
      <c r="I107" s="455" t="s">
        <v>573</v>
      </c>
      <c r="J107" s="457" t="s">
        <v>573</v>
      </c>
      <c r="K107" s="456" t="s">
        <v>573</v>
      </c>
      <c r="L107" s="456" t="s">
        <v>573</v>
      </c>
      <c r="M107" s="455" t="s">
        <v>573</v>
      </c>
      <c r="N107" s="692"/>
      <c r="O107" s="456" t="s">
        <v>573</v>
      </c>
      <c r="P107" s="455" t="s">
        <v>573</v>
      </c>
      <c r="Q107" s="458" t="s">
        <v>573</v>
      </c>
      <c r="R107" s="459"/>
      <c r="S107" s="460"/>
      <c r="T107" s="459"/>
      <c r="U107" s="460"/>
      <c r="V107" s="459"/>
      <c r="W107" s="460"/>
      <c r="X107" s="459"/>
      <c r="Y107" s="460"/>
      <c r="Z107" s="459"/>
      <c r="AA107" s="460"/>
      <c r="AB107" s="459"/>
      <c r="AC107" s="460"/>
      <c r="AD107" s="459"/>
      <c r="AE107" s="460"/>
      <c r="AF107" s="459"/>
      <c r="AG107" s="460"/>
      <c r="AH107" s="452"/>
    </row>
    <row r="108" spans="1:34" x14ac:dyDescent="0.25">
      <c r="A108" s="15" t="str">
        <f>IF(C108="","",MAX(#REF!)+1)</f>
        <v/>
      </c>
    </row>
  </sheetData>
  <mergeCells count="17">
    <mergeCell ref="A5:A7"/>
    <mergeCell ref="C5:C7"/>
    <mergeCell ref="D5:K5"/>
    <mergeCell ref="L5:Q6"/>
    <mergeCell ref="R5:AG5"/>
    <mergeCell ref="B5:B7"/>
    <mergeCell ref="AH5:AH7"/>
    <mergeCell ref="D6:G6"/>
    <mergeCell ref="H6:K6"/>
    <mergeCell ref="R6:S6"/>
    <mergeCell ref="T6:U6"/>
    <mergeCell ref="V6:W6"/>
    <mergeCell ref="X6:Y6"/>
    <mergeCell ref="Z6:AA6"/>
    <mergeCell ref="AB6:AC6"/>
    <mergeCell ref="AD6:AE6"/>
    <mergeCell ref="AF6:AG6"/>
  </mergeCells>
  <conditionalFormatting sqref="R10 R14 R12">
    <cfRule type="colorScale" priority="12">
      <colorScale>
        <cfvo type="num" val="0"/>
        <cfvo type="num" val="0"/>
        <color rgb="FFFF7128"/>
        <color rgb="FF00B050"/>
      </colorScale>
    </cfRule>
  </conditionalFormatting>
  <conditionalFormatting sqref="R14 R10 R12">
    <cfRule type="colorScale" priority="13">
      <colorScale>
        <cfvo type="min"/>
        <cfvo type="percentile" val="50"/>
        <cfvo type="max"/>
        <color rgb="FFF8696B"/>
        <color rgb="FFFFEB84"/>
        <color rgb="FF63BE7B"/>
      </colorScale>
    </cfRule>
  </conditionalFormatting>
  <conditionalFormatting sqref="R14 R10 R12">
    <cfRule type="colorScale" priority="14">
      <colorScale>
        <cfvo type="min"/>
        <cfvo type="percentile" val="50"/>
        <cfvo type="max"/>
        <color rgb="FFF8696B"/>
        <color rgb="FFFCFCFF"/>
        <color rgb="FF63BE7B"/>
      </colorScale>
    </cfRule>
  </conditionalFormatting>
  <dataValidations disablePrompts="1" count="1">
    <dataValidation allowBlank="1" showInputMessage="1" showErrorMessage="1" prompt="Nâng trước hạn" sqref="M18 T85 M21"/>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3"/>
  <sheetViews>
    <sheetView showZeros="0" workbookViewId="0">
      <pane xSplit="6" ySplit="14" topLeftCell="G15" activePane="bottomRight" state="frozen"/>
      <selection activeCell="AG1" sqref="AG1:AG1048576"/>
      <selection pane="topRight" activeCell="AG1" sqref="AG1:AG1048576"/>
      <selection pane="bottomLeft" activeCell="AG1" sqref="AG1:AG1048576"/>
      <selection pane="bottomRight" activeCell="F46" sqref="F46"/>
    </sheetView>
  </sheetViews>
  <sheetFormatPr defaultRowHeight="11.25" x14ac:dyDescent="0.2"/>
  <cols>
    <col min="1" max="1" width="3.85546875" style="5" customWidth="1"/>
    <col min="2" max="2" width="18.85546875" style="4" customWidth="1"/>
    <col min="3" max="3" width="3.5703125" style="4" customWidth="1"/>
    <col min="4" max="4" width="8.85546875" style="1" customWidth="1"/>
    <col min="5" max="6" width="8.42578125" style="2" customWidth="1"/>
    <col min="7" max="8" width="9" style="3" customWidth="1"/>
    <col min="9" max="20" width="8.7109375" style="666" customWidth="1"/>
    <col min="21" max="196" width="9.140625" style="3"/>
    <col min="197" max="197" width="3.85546875" style="3" customWidth="1"/>
    <col min="198" max="198" width="5.28515625" style="3" customWidth="1"/>
    <col min="199" max="199" width="5" style="3" customWidth="1"/>
    <col min="200" max="200" width="13.85546875" style="3" customWidth="1"/>
    <col min="201" max="201" width="6" style="3" customWidth="1"/>
    <col min="202" max="202" width="2.85546875" style="3" customWidth="1"/>
    <col min="203" max="203" width="5.140625" style="3" customWidth="1"/>
    <col min="204" max="204" width="8.7109375" style="3" customWidth="1"/>
    <col min="205" max="205" width="4.28515625" style="3" customWidth="1"/>
    <col min="206" max="206" width="8.85546875" style="3" customWidth="1"/>
    <col min="207" max="207" width="6.5703125" style="3" customWidth="1"/>
    <col min="208" max="208" width="9" style="3" customWidth="1"/>
    <col min="209" max="209" width="17.5703125" style="3" customWidth="1"/>
    <col min="210" max="210" width="22.85546875" style="3" customWidth="1"/>
    <col min="211" max="211" width="27.42578125" style="3" customWidth="1"/>
    <col min="212" max="212" width="8.5703125" style="3" customWidth="1"/>
    <col min="213" max="214" width="8.42578125" style="3" customWidth="1"/>
    <col min="215" max="215" width="8.7109375" style="3" customWidth="1"/>
    <col min="216" max="216" width="8.42578125" style="3" customWidth="1"/>
    <col min="217" max="217" width="4.5703125" style="3" customWidth="1"/>
    <col min="218" max="218" width="5" style="3" customWidth="1"/>
    <col min="219" max="219" width="7" style="3" customWidth="1"/>
    <col min="220" max="220" width="5.5703125" style="3" customWidth="1"/>
    <col min="221" max="221" width="8.42578125" style="3" customWidth="1"/>
    <col min="222" max="223" width="5.140625" style="3" customWidth="1"/>
    <col min="224" max="224" width="6.5703125" style="3" customWidth="1"/>
    <col min="225" max="225" width="5" style="3" customWidth="1"/>
    <col min="226" max="226" width="4.5703125" style="3" customWidth="1"/>
    <col min="227" max="227" width="5.7109375" style="3" customWidth="1"/>
    <col min="228" max="228" width="4.85546875" style="3" customWidth="1"/>
    <col min="229" max="229" width="4" style="3" customWidth="1"/>
    <col min="230" max="230" width="4.7109375" style="3" customWidth="1"/>
    <col min="231" max="244" width="5.140625" style="3" customWidth="1"/>
    <col min="245" max="247" width="9.42578125" style="3" customWidth="1"/>
    <col min="248" max="248" width="5.5703125" style="3" customWidth="1"/>
    <col min="249" max="249" width="5.85546875" style="3" customWidth="1"/>
    <col min="250" max="250" width="10" style="3" customWidth="1"/>
    <col min="251" max="452" width="9.140625" style="3"/>
    <col min="453" max="453" width="3.85546875" style="3" customWidth="1"/>
    <col min="454" max="454" width="5.28515625" style="3" customWidth="1"/>
    <col min="455" max="455" width="5" style="3" customWidth="1"/>
    <col min="456" max="456" width="13.85546875" style="3" customWidth="1"/>
    <col min="457" max="457" width="6" style="3" customWidth="1"/>
    <col min="458" max="458" width="2.85546875" style="3" customWidth="1"/>
    <col min="459" max="459" width="5.140625" style="3" customWidth="1"/>
    <col min="460" max="460" width="8.7109375" style="3" customWidth="1"/>
    <col min="461" max="461" width="4.28515625" style="3" customWidth="1"/>
    <col min="462" max="462" width="8.85546875" style="3" customWidth="1"/>
    <col min="463" max="463" width="6.5703125" style="3" customWidth="1"/>
    <col min="464" max="464" width="9" style="3" customWidth="1"/>
    <col min="465" max="465" width="17.5703125" style="3" customWidth="1"/>
    <col min="466" max="466" width="22.85546875" style="3" customWidth="1"/>
    <col min="467" max="467" width="27.42578125" style="3" customWidth="1"/>
    <col min="468" max="468" width="8.5703125" style="3" customWidth="1"/>
    <col min="469" max="470" width="8.42578125" style="3" customWidth="1"/>
    <col min="471" max="471" width="8.7109375" style="3" customWidth="1"/>
    <col min="472" max="472" width="8.42578125" style="3" customWidth="1"/>
    <col min="473" max="473" width="4.5703125" style="3" customWidth="1"/>
    <col min="474" max="474" width="5" style="3" customWidth="1"/>
    <col min="475" max="475" width="7" style="3" customWidth="1"/>
    <col min="476" max="476" width="5.5703125" style="3" customWidth="1"/>
    <col min="477" max="477" width="8.42578125" style="3" customWidth="1"/>
    <col min="478" max="479" width="5.140625" style="3" customWidth="1"/>
    <col min="480" max="480" width="6.5703125" style="3" customWidth="1"/>
    <col min="481" max="481" width="5" style="3" customWidth="1"/>
    <col min="482" max="482" width="4.5703125" style="3" customWidth="1"/>
    <col min="483" max="483" width="5.7109375" style="3" customWidth="1"/>
    <col min="484" max="484" width="4.85546875" style="3" customWidth="1"/>
    <col min="485" max="485" width="4" style="3" customWidth="1"/>
    <col min="486" max="486" width="4.7109375" style="3" customWidth="1"/>
    <col min="487" max="500" width="5.140625" style="3" customWidth="1"/>
    <col min="501" max="503" width="9.42578125" style="3" customWidth="1"/>
    <col min="504" max="504" width="5.5703125" style="3" customWidth="1"/>
    <col min="505" max="505" width="5.85546875" style="3" customWidth="1"/>
    <col min="506" max="506" width="10" style="3" customWidth="1"/>
    <col min="507" max="708" width="9.140625" style="3"/>
    <col min="709" max="709" width="3.85546875" style="3" customWidth="1"/>
    <col min="710" max="710" width="5.28515625" style="3" customWidth="1"/>
    <col min="711" max="711" width="5" style="3" customWidth="1"/>
    <col min="712" max="712" width="13.85546875" style="3" customWidth="1"/>
    <col min="713" max="713" width="6" style="3" customWidth="1"/>
    <col min="714" max="714" width="2.85546875" style="3" customWidth="1"/>
    <col min="715" max="715" width="5.140625" style="3" customWidth="1"/>
    <col min="716" max="716" width="8.7109375" style="3" customWidth="1"/>
    <col min="717" max="717" width="4.28515625" style="3" customWidth="1"/>
    <col min="718" max="718" width="8.85546875" style="3" customWidth="1"/>
    <col min="719" max="719" width="6.5703125" style="3" customWidth="1"/>
    <col min="720" max="720" width="9" style="3" customWidth="1"/>
    <col min="721" max="721" width="17.5703125" style="3" customWidth="1"/>
    <col min="722" max="722" width="22.85546875" style="3" customWidth="1"/>
    <col min="723" max="723" width="27.42578125" style="3" customWidth="1"/>
    <col min="724" max="724" width="8.5703125" style="3" customWidth="1"/>
    <col min="725" max="726" width="8.42578125" style="3" customWidth="1"/>
    <col min="727" max="727" width="8.7109375" style="3" customWidth="1"/>
    <col min="728" max="728" width="8.42578125" style="3" customWidth="1"/>
    <col min="729" max="729" width="4.5703125" style="3" customWidth="1"/>
    <col min="730" max="730" width="5" style="3" customWidth="1"/>
    <col min="731" max="731" width="7" style="3" customWidth="1"/>
    <col min="732" max="732" width="5.5703125" style="3" customWidth="1"/>
    <col min="733" max="733" width="8.42578125" style="3" customWidth="1"/>
    <col min="734" max="735" width="5.140625" style="3" customWidth="1"/>
    <col min="736" max="736" width="6.5703125" style="3" customWidth="1"/>
    <col min="737" max="737" width="5" style="3" customWidth="1"/>
    <col min="738" max="738" width="4.5703125" style="3" customWidth="1"/>
    <col min="739" max="739" width="5.7109375" style="3" customWidth="1"/>
    <col min="740" max="740" width="4.85546875" style="3" customWidth="1"/>
    <col min="741" max="741" width="4" style="3" customWidth="1"/>
    <col min="742" max="742" width="4.7109375" style="3" customWidth="1"/>
    <col min="743" max="756" width="5.140625" style="3" customWidth="1"/>
    <col min="757" max="759" width="9.42578125" style="3" customWidth="1"/>
    <col min="760" max="760" width="5.5703125" style="3" customWidth="1"/>
    <col min="761" max="761" width="5.85546875" style="3" customWidth="1"/>
    <col min="762" max="762" width="10" style="3" customWidth="1"/>
    <col min="763" max="964" width="9.140625" style="3"/>
    <col min="965" max="965" width="3.85546875" style="3" customWidth="1"/>
    <col min="966" max="966" width="5.28515625" style="3" customWidth="1"/>
    <col min="967" max="967" width="5" style="3" customWidth="1"/>
    <col min="968" max="968" width="13.85546875" style="3" customWidth="1"/>
    <col min="969" max="969" width="6" style="3" customWidth="1"/>
    <col min="970" max="970" width="2.85546875" style="3" customWidth="1"/>
    <col min="971" max="971" width="5.140625" style="3" customWidth="1"/>
    <col min="972" max="972" width="8.7109375" style="3" customWidth="1"/>
    <col min="973" max="973" width="4.28515625" style="3" customWidth="1"/>
    <col min="974" max="974" width="8.85546875" style="3" customWidth="1"/>
    <col min="975" max="975" width="6.5703125" style="3" customWidth="1"/>
    <col min="976" max="976" width="9" style="3" customWidth="1"/>
    <col min="977" max="977" width="17.5703125" style="3" customWidth="1"/>
    <col min="978" max="978" width="22.85546875" style="3" customWidth="1"/>
    <col min="979" max="979" width="27.42578125" style="3" customWidth="1"/>
    <col min="980" max="980" width="8.5703125" style="3" customWidth="1"/>
    <col min="981" max="982" width="8.42578125" style="3" customWidth="1"/>
    <col min="983" max="983" width="8.7109375" style="3" customWidth="1"/>
    <col min="984" max="984" width="8.42578125" style="3" customWidth="1"/>
    <col min="985" max="985" width="4.5703125" style="3" customWidth="1"/>
    <col min="986" max="986" width="5" style="3" customWidth="1"/>
    <col min="987" max="987" width="7" style="3" customWidth="1"/>
    <col min="988" max="988" width="5.5703125" style="3" customWidth="1"/>
    <col min="989" max="989" width="8.42578125" style="3" customWidth="1"/>
    <col min="990" max="991" width="5.140625" style="3" customWidth="1"/>
    <col min="992" max="992" width="6.5703125" style="3" customWidth="1"/>
    <col min="993" max="993" width="5" style="3" customWidth="1"/>
    <col min="994" max="994" width="4.5703125" style="3" customWidth="1"/>
    <col min="995" max="995" width="5.7109375" style="3" customWidth="1"/>
    <col min="996" max="996" width="4.85546875" style="3" customWidth="1"/>
    <col min="997" max="997" width="4" style="3" customWidth="1"/>
    <col min="998" max="998" width="4.7109375" style="3" customWidth="1"/>
    <col min="999" max="1012" width="5.140625" style="3" customWidth="1"/>
    <col min="1013" max="1015" width="9.42578125" style="3" customWidth="1"/>
    <col min="1016" max="1016" width="5.5703125" style="3" customWidth="1"/>
    <col min="1017" max="1017" width="5.85546875" style="3" customWidth="1"/>
    <col min="1018" max="1018" width="10" style="3" customWidth="1"/>
    <col min="1019" max="1220" width="9.140625" style="3"/>
    <col min="1221" max="1221" width="3.85546875" style="3" customWidth="1"/>
    <col min="1222" max="1222" width="5.28515625" style="3" customWidth="1"/>
    <col min="1223" max="1223" width="5" style="3" customWidth="1"/>
    <col min="1224" max="1224" width="13.85546875" style="3" customWidth="1"/>
    <col min="1225" max="1225" width="6" style="3" customWidth="1"/>
    <col min="1226" max="1226" width="2.85546875" style="3" customWidth="1"/>
    <col min="1227" max="1227" width="5.140625" style="3" customWidth="1"/>
    <col min="1228" max="1228" width="8.7109375" style="3" customWidth="1"/>
    <col min="1229" max="1229" width="4.28515625" style="3" customWidth="1"/>
    <col min="1230" max="1230" width="8.85546875" style="3" customWidth="1"/>
    <col min="1231" max="1231" width="6.5703125" style="3" customWidth="1"/>
    <col min="1232" max="1232" width="9" style="3" customWidth="1"/>
    <col min="1233" max="1233" width="17.5703125" style="3" customWidth="1"/>
    <col min="1234" max="1234" width="22.85546875" style="3" customWidth="1"/>
    <col min="1235" max="1235" width="27.42578125" style="3" customWidth="1"/>
    <col min="1236" max="1236" width="8.5703125" style="3" customWidth="1"/>
    <col min="1237" max="1238" width="8.42578125" style="3" customWidth="1"/>
    <col min="1239" max="1239" width="8.7109375" style="3" customWidth="1"/>
    <col min="1240" max="1240" width="8.42578125" style="3" customWidth="1"/>
    <col min="1241" max="1241" width="4.5703125" style="3" customWidth="1"/>
    <col min="1242" max="1242" width="5" style="3" customWidth="1"/>
    <col min="1243" max="1243" width="7" style="3" customWidth="1"/>
    <col min="1244" max="1244" width="5.5703125" style="3" customWidth="1"/>
    <col min="1245" max="1245" width="8.42578125" style="3" customWidth="1"/>
    <col min="1246" max="1247" width="5.140625" style="3" customWidth="1"/>
    <col min="1248" max="1248" width="6.5703125" style="3" customWidth="1"/>
    <col min="1249" max="1249" width="5" style="3" customWidth="1"/>
    <col min="1250" max="1250" width="4.5703125" style="3" customWidth="1"/>
    <col min="1251" max="1251" width="5.7109375" style="3" customWidth="1"/>
    <col min="1252" max="1252" width="4.85546875" style="3" customWidth="1"/>
    <col min="1253" max="1253" width="4" style="3" customWidth="1"/>
    <col min="1254" max="1254" width="4.7109375" style="3" customWidth="1"/>
    <col min="1255" max="1268" width="5.140625" style="3" customWidth="1"/>
    <col min="1269" max="1271" width="9.42578125" style="3" customWidth="1"/>
    <col min="1272" max="1272" width="5.5703125" style="3" customWidth="1"/>
    <col min="1273" max="1273" width="5.85546875" style="3" customWidth="1"/>
    <col min="1274" max="1274" width="10" style="3" customWidth="1"/>
    <col min="1275" max="1476" width="9.140625" style="3"/>
    <col min="1477" max="1477" width="3.85546875" style="3" customWidth="1"/>
    <col min="1478" max="1478" width="5.28515625" style="3" customWidth="1"/>
    <col min="1479" max="1479" width="5" style="3" customWidth="1"/>
    <col min="1480" max="1480" width="13.85546875" style="3" customWidth="1"/>
    <col min="1481" max="1481" width="6" style="3" customWidth="1"/>
    <col min="1482" max="1482" width="2.85546875" style="3" customWidth="1"/>
    <col min="1483" max="1483" width="5.140625" style="3" customWidth="1"/>
    <col min="1484" max="1484" width="8.7109375" style="3" customWidth="1"/>
    <col min="1485" max="1485" width="4.28515625" style="3" customWidth="1"/>
    <col min="1486" max="1486" width="8.85546875" style="3" customWidth="1"/>
    <col min="1487" max="1487" width="6.5703125" style="3" customWidth="1"/>
    <col min="1488" max="1488" width="9" style="3" customWidth="1"/>
    <col min="1489" max="1489" width="17.5703125" style="3" customWidth="1"/>
    <col min="1490" max="1490" width="22.85546875" style="3" customWidth="1"/>
    <col min="1491" max="1491" width="27.42578125" style="3" customWidth="1"/>
    <col min="1492" max="1492" width="8.5703125" style="3" customWidth="1"/>
    <col min="1493" max="1494" width="8.42578125" style="3" customWidth="1"/>
    <col min="1495" max="1495" width="8.7109375" style="3" customWidth="1"/>
    <col min="1496" max="1496" width="8.42578125" style="3" customWidth="1"/>
    <col min="1497" max="1497" width="4.5703125" style="3" customWidth="1"/>
    <col min="1498" max="1498" width="5" style="3" customWidth="1"/>
    <col min="1499" max="1499" width="7" style="3" customWidth="1"/>
    <col min="1500" max="1500" width="5.5703125" style="3" customWidth="1"/>
    <col min="1501" max="1501" width="8.42578125" style="3" customWidth="1"/>
    <col min="1502" max="1503" width="5.140625" style="3" customWidth="1"/>
    <col min="1504" max="1504" width="6.5703125" style="3" customWidth="1"/>
    <col min="1505" max="1505" width="5" style="3" customWidth="1"/>
    <col min="1506" max="1506" width="4.5703125" style="3" customWidth="1"/>
    <col min="1507" max="1507" width="5.7109375" style="3" customWidth="1"/>
    <col min="1508" max="1508" width="4.85546875" style="3" customWidth="1"/>
    <col min="1509" max="1509" width="4" style="3" customWidth="1"/>
    <col min="1510" max="1510" width="4.7109375" style="3" customWidth="1"/>
    <col min="1511" max="1524" width="5.140625" style="3" customWidth="1"/>
    <col min="1525" max="1527" width="9.42578125" style="3" customWidth="1"/>
    <col min="1528" max="1528" width="5.5703125" style="3" customWidth="1"/>
    <col min="1529" max="1529" width="5.85546875" style="3" customWidth="1"/>
    <col min="1530" max="1530" width="10" style="3" customWidth="1"/>
    <col min="1531" max="1732" width="9.140625" style="3"/>
    <col min="1733" max="1733" width="3.85546875" style="3" customWidth="1"/>
    <col min="1734" max="1734" width="5.28515625" style="3" customWidth="1"/>
    <col min="1735" max="1735" width="5" style="3" customWidth="1"/>
    <col min="1736" max="1736" width="13.85546875" style="3" customWidth="1"/>
    <col min="1737" max="1737" width="6" style="3" customWidth="1"/>
    <col min="1738" max="1738" width="2.85546875" style="3" customWidth="1"/>
    <col min="1739" max="1739" width="5.140625" style="3" customWidth="1"/>
    <col min="1740" max="1740" width="8.7109375" style="3" customWidth="1"/>
    <col min="1741" max="1741" width="4.28515625" style="3" customWidth="1"/>
    <col min="1742" max="1742" width="8.85546875" style="3" customWidth="1"/>
    <col min="1743" max="1743" width="6.5703125" style="3" customWidth="1"/>
    <col min="1744" max="1744" width="9" style="3" customWidth="1"/>
    <col min="1745" max="1745" width="17.5703125" style="3" customWidth="1"/>
    <col min="1746" max="1746" width="22.85546875" style="3" customWidth="1"/>
    <col min="1747" max="1747" width="27.42578125" style="3" customWidth="1"/>
    <col min="1748" max="1748" width="8.5703125" style="3" customWidth="1"/>
    <col min="1749" max="1750" width="8.42578125" style="3" customWidth="1"/>
    <col min="1751" max="1751" width="8.7109375" style="3" customWidth="1"/>
    <col min="1752" max="1752" width="8.42578125" style="3" customWidth="1"/>
    <col min="1753" max="1753" width="4.5703125" style="3" customWidth="1"/>
    <col min="1754" max="1754" width="5" style="3" customWidth="1"/>
    <col min="1755" max="1755" width="7" style="3" customWidth="1"/>
    <col min="1756" max="1756" width="5.5703125" style="3" customWidth="1"/>
    <col min="1757" max="1757" width="8.42578125" style="3" customWidth="1"/>
    <col min="1758" max="1759" width="5.140625" style="3" customWidth="1"/>
    <col min="1760" max="1760" width="6.5703125" style="3" customWidth="1"/>
    <col min="1761" max="1761" width="5" style="3" customWidth="1"/>
    <col min="1762" max="1762" width="4.5703125" style="3" customWidth="1"/>
    <col min="1763" max="1763" width="5.7109375" style="3" customWidth="1"/>
    <col min="1764" max="1764" width="4.85546875" style="3" customWidth="1"/>
    <col min="1765" max="1765" width="4" style="3" customWidth="1"/>
    <col min="1766" max="1766" width="4.7109375" style="3" customWidth="1"/>
    <col min="1767" max="1780" width="5.140625" style="3" customWidth="1"/>
    <col min="1781" max="1783" width="9.42578125" style="3" customWidth="1"/>
    <col min="1784" max="1784" width="5.5703125" style="3" customWidth="1"/>
    <col min="1785" max="1785" width="5.85546875" style="3" customWidth="1"/>
    <col min="1786" max="1786" width="10" style="3" customWidth="1"/>
    <col min="1787" max="1988" width="9.140625" style="3"/>
    <col min="1989" max="1989" width="3.85546875" style="3" customWidth="1"/>
    <col min="1990" max="1990" width="5.28515625" style="3" customWidth="1"/>
    <col min="1991" max="1991" width="5" style="3" customWidth="1"/>
    <col min="1992" max="1992" width="13.85546875" style="3" customWidth="1"/>
    <col min="1993" max="1993" width="6" style="3" customWidth="1"/>
    <col min="1994" max="1994" width="2.85546875" style="3" customWidth="1"/>
    <col min="1995" max="1995" width="5.140625" style="3" customWidth="1"/>
    <col min="1996" max="1996" width="8.7109375" style="3" customWidth="1"/>
    <col min="1997" max="1997" width="4.28515625" style="3" customWidth="1"/>
    <col min="1998" max="1998" width="8.85546875" style="3" customWidth="1"/>
    <col min="1999" max="1999" width="6.5703125" style="3" customWidth="1"/>
    <col min="2000" max="2000" width="9" style="3" customWidth="1"/>
    <col min="2001" max="2001" width="17.5703125" style="3" customWidth="1"/>
    <col min="2002" max="2002" width="22.85546875" style="3" customWidth="1"/>
    <col min="2003" max="2003" width="27.42578125" style="3" customWidth="1"/>
    <col min="2004" max="2004" width="8.5703125" style="3" customWidth="1"/>
    <col min="2005" max="2006" width="8.42578125" style="3" customWidth="1"/>
    <col min="2007" max="2007" width="8.7109375" style="3" customWidth="1"/>
    <col min="2008" max="2008" width="8.42578125" style="3" customWidth="1"/>
    <col min="2009" max="2009" width="4.5703125" style="3" customWidth="1"/>
    <col min="2010" max="2010" width="5" style="3" customWidth="1"/>
    <col min="2011" max="2011" width="7" style="3" customWidth="1"/>
    <col min="2012" max="2012" width="5.5703125" style="3" customWidth="1"/>
    <col min="2013" max="2013" width="8.42578125" style="3" customWidth="1"/>
    <col min="2014" max="2015" width="5.140625" style="3" customWidth="1"/>
    <col min="2016" max="2016" width="6.5703125" style="3" customWidth="1"/>
    <col min="2017" max="2017" width="5" style="3" customWidth="1"/>
    <col min="2018" max="2018" width="4.5703125" style="3" customWidth="1"/>
    <col min="2019" max="2019" width="5.7109375" style="3" customWidth="1"/>
    <col min="2020" max="2020" width="4.85546875" style="3" customWidth="1"/>
    <col min="2021" max="2021" width="4" style="3" customWidth="1"/>
    <col min="2022" max="2022" width="4.7109375" style="3" customWidth="1"/>
    <col min="2023" max="2036" width="5.140625" style="3" customWidth="1"/>
    <col min="2037" max="2039" width="9.42578125" style="3" customWidth="1"/>
    <col min="2040" max="2040" width="5.5703125" style="3" customWidth="1"/>
    <col min="2041" max="2041" width="5.85546875" style="3" customWidth="1"/>
    <col min="2042" max="2042" width="10" style="3" customWidth="1"/>
    <col min="2043" max="2244" width="9.140625" style="3"/>
    <col min="2245" max="2245" width="3.85546875" style="3" customWidth="1"/>
    <col min="2246" max="2246" width="5.28515625" style="3" customWidth="1"/>
    <col min="2247" max="2247" width="5" style="3" customWidth="1"/>
    <col min="2248" max="2248" width="13.85546875" style="3" customWidth="1"/>
    <col min="2249" max="2249" width="6" style="3" customWidth="1"/>
    <col min="2250" max="2250" width="2.85546875" style="3" customWidth="1"/>
    <col min="2251" max="2251" width="5.140625" style="3" customWidth="1"/>
    <col min="2252" max="2252" width="8.7109375" style="3" customWidth="1"/>
    <col min="2253" max="2253" width="4.28515625" style="3" customWidth="1"/>
    <col min="2254" max="2254" width="8.85546875" style="3" customWidth="1"/>
    <col min="2255" max="2255" width="6.5703125" style="3" customWidth="1"/>
    <col min="2256" max="2256" width="9" style="3" customWidth="1"/>
    <col min="2257" max="2257" width="17.5703125" style="3" customWidth="1"/>
    <col min="2258" max="2258" width="22.85546875" style="3" customWidth="1"/>
    <col min="2259" max="2259" width="27.42578125" style="3" customWidth="1"/>
    <col min="2260" max="2260" width="8.5703125" style="3" customWidth="1"/>
    <col min="2261" max="2262" width="8.42578125" style="3" customWidth="1"/>
    <col min="2263" max="2263" width="8.7109375" style="3" customWidth="1"/>
    <col min="2264" max="2264" width="8.42578125" style="3" customWidth="1"/>
    <col min="2265" max="2265" width="4.5703125" style="3" customWidth="1"/>
    <col min="2266" max="2266" width="5" style="3" customWidth="1"/>
    <col min="2267" max="2267" width="7" style="3" customWidth="1"/>
    <col min="2268" max="2268" width="5.5703125" style="3" customWidth="1"/>
    <col min="2269" max="2269" width="8.42578125" style="3" customWidth="1"/>
    <col min="2270" max="2271" width="5.140625" style="3" customWidth="1"/>
    <col min="2272" max="2272" width="6.5703125" style="3" customWidth="1"/>
    <col min="2273" max="2273" width="5" style="3" customWidth="1"/>
    <col min="2274" max="2274" width="4.5703125" style="3" customWidth="1"/>
    <col min="2275" max="2275" width="5.7109375" style="3" customWidth="1"/>
    <col min="2276" max="2276" width="4.85546875" style="3" customWidth="1"/>
    <col min="2277" max="2277" width="4" style="3" customWidth="1"/>
    <col min="2278" max="2278" width="4.7109375" style="3" customWidth="1"/>
    <col min="2279" max="2292" width="5.140625" style="3" customWidth="1"/>
    <col min="2293" max="2295" width="9.42578125" style="3" customWidth="1"/>
    <col min="2296" max="2296" width="5.5703125" style="3" customWidth="1"/>
    <col min="2297" max="2297" width="5.85546875" style="3" customWidth="1"/>
    <col min="2298" max="2298" width="10" style="3" customWidth="1"/>
    <col min="2299" max="2500" width="9.140625" style="3"/>
    <col min="2501" max="2501" width="3.85546875" style="3" customWidth="1"/>
    <col min="2502" max="2502" width="5.28515625" style="3" customWidth="1"/>
    <col min="2503" max="2503" width="5" style="3" customWidth="1"/>
    <col min="2504" max="2504" width="13.85546875" style="3" customWidth="1"/>
    <col min="2505" max="2505" width="6" style="3" customWidth="1"/>
    <col min="2506" max="2506" width="2.85546875" style="3" customWidth="1"/>
    <col min="2507" max="2507" width="5.140625" style="3" customWidth="1"/>
    <col min="2508" max="2508" width="8.7109375" style="3" customWidth="1"/>
    <col min="2509" max="2509" width="4.28515625" style="3" customWidth="1"/>
    <col min="2510" max="2510" width="8.85546875" style="3" customWidth="1"/>
    <col min="2511" max="2511" width="6.5703125" style="3" customWidth="1"/>
    <col min="2512" max="2512" width="9" style="3" customWidth="1"/>
    <col min="2513" max="2513" width="17.5703125" style="3" customWidth="1"/>
    <col min="2514" max="2514" width="22.85546875" style="3" customWidth="1"/>
    <col min="2515" max="2515" width="27.42578125" style="3" customWidth="1"/>
    <col min="2516" max="2516" width="8.5703125" style="3" customWidth="1"/>
    <col min="2517" max="2518" width="8.42578125" style="3" customWidth="1"/>
    <col min="2519" max="2519" width="8.7109375" style="3" customWidth="1"/>
    <col min="2520" max="2520" width="8.42578125" style="3" customWidth="1"/>
    <col min="2521" max="2521" width="4.5703125" style="3" customWidth="1"/>
    <col min="2522" max="2522" width="5" style="3" customWidth="1"/>
    <col min="2523" max="2523" width="7" style="3" customWidth="1"/>
    <col min="2524" max="2524" width="5.5703125" style="3" customWidth="1"/>
    <col min="2525" max="2525" width="8.42578125" style="3" customWidth="1"/>
    <col min="2526" max="2527" width="5.140625" style="3" customWidth="1"/>
    <col min="2528" max="2528" width="6.5703125" style="3" customWidth="1"/>
    <col min="2529" max="2529" width="5" style="3" customWidth="1"/>
    <col min="2530" max="2530" width="4.5703125" style="3" customWidth="1"/>
    <col min="2531" max="2531" width="5.7109375" style="3" customWidth="1"/>
    <col min="2532" max="2532" width="4.85546875" style="3" customWidth="1"/>
    <col min="2533" max="2533" width="4" style="3" customWidth="1"/>
    <col min="2534" max="2534" width="4.7109375" style="3" customWidth="1"/>
    <col min="2535" max="2548" width="5.140625" style="3" customWidth="1"/>
    <col min="2549" max="2551" width="9.42578125" style="3" customWidth="1"/>
    <col min="2552" max="2552" width="5.5703125" style="3" customWidth="1"/>
    <col min="2553" max="2553" width="5.85546875" style="3" customWidth="1"/>
    <col min="2554" max="2554" width="10" style="3" customWidth="1"/>
    <col min="2555" max="2756" width="9.140625" style="3"/>
    <col min="2757" max="2757" width="3.85546875" style="3" customWidth="1"/>
    <col min="2758" max="2758" width="5.28515625" style="3" customWidth="1"/>
    <col min="2759" max="2759" width="5" style="3" customWidth="1"/>
    <col min="2760" max="2760" width="13.85546875" style="3" customWidth="1"/>
    <col min="2761" max="2761" width="6" style="3" customWidth="1"/>
    <col min="2762" max="2762" width="2.85546875" style="3" customWidth="1"/>
    <col min="2763" max="2763" width="5.140625" style="3" customWidth="1"/>
    <col min="2764" max="2764" width="8.7109375" style="3" customWidth="1"/>
    <col min="2765" max="2765" width="4.28515625" style="3" customWidth="1"/>
    <col min="2766" max="2766" width="8.85546875" style="3" customWidth="1"/>
    <col min="2767" max="2767" width="6.5703125" style="3" customWidth="1"/>
    <col min="2768" max="2768" width="9" style="3" customWidth="1"/>
    <col min="2769" max="2769" width="17.5703125" style="3" customWidth="1"/>
    <col min="2770" max="2770" width="22.85546875" style="3" customWidth="1"/>
    <col min="2771" max="2771" width="27.42578125" style="3" customWidth="1"/>
    <col min="2772" max="2772" width="8.5703125" style="3" customWidth="1"/>
    <col min="2773" max="2774" width="8.42578125" style="3" customWidth="1"/>
    <col min="2775" max="2775" width="8.7109375" style="3" customWidth="1"/>
    <col min="2776" max="2776" width="8.42578125" style="3" customWidth="1"/>
    <col min="2777" max="2777" width="4.5703125" style="3" customWidth="1"/>
    <col min="2778" max="2778" width="5" style="3" customWidth="1"/>
    <col min="2779" max="2779" width="7" style="3" customWidth="1"/>
    <col min="2780" max="2780" width="5.5703125" style="3" customWidth="1"/>
    <col min="2781" max="2781" width="8.42578125" style="3" customWidth="1"/>
    <col min="2782" max="2783" width="5.140625" style="3" customWidth="1"/>
    <col min="2784" max="2784" width="6.5703125" style="3" customWidth="1"/>
    <col min="2785" max="2785" width="5" style="3" customWidth="1"/>
    <col min="2786" max="2786" width="4.5703125" style="3" customWidth="1"/>
    <col min="2787" max="2787" width="5.7109375" style="3" customWidth="1"/>
    <col min="2788" max="2788" width="4.85546875" style="3" customWidth="1"/>
    <col min="2789" max="2789" width="4" style="3" customWidth="1"/>
    <col min="2790" max="2790" width="4.7109375" style="3" customWidth="1"/>
    <col min="2791" max="2804" width="5.140625" style="3" customWidth="1"/>
    <col min="2805" max="2807" width="9.42578125" style="3" customWidth="1"/>
    <col min="2808" max="2808" width="5.5703125" style="3" customWidth="1"/>
    <col min="2809" max="2809" width="5.85546875" style="3" customWidth="1"/>
    <col min="2810" max="2810" width="10" style="3" customWidth="1"/>
    <col min="2811" max="3012" width="9.140625" style="3"/>
    <col min="3013" max="3013" width="3.85546875" style="3" customWidth="1"/>
    <col min="3014" max="3014" width="5.28515625" style="3" customWidth="1"/>
    <col min="3015" max="3015" width="5" style="3" customWidth="1"/>
    <col min="3016" max="3016" width="13.85546875" style="3" customWidth="1"/>
    <col min="3017" max="3017" width="6" style="3" customWidth="1"/>
    <col min="3018" max="3018" width="2.85546875" style="3" customWidth="1"/>
    <col min="3019" max="3019" width="5.140625" style="3" customWidth="1"/>
    <col min="3020" max="3020" width="8.7109375" style="3" customWidth="1"/>
    <col min="3021" max="3021" width="4.28515625" style="3" customWidth="1"/>
    <col min="3022" max="3022" width="8.85546875" style="3" customWidth="1"/>
    <col min="3023" max="3023" width="6.5703125" style="3" customWidth="1"/>
    <col min="3024" max="3024" width="9" style="3" customWidth="1"/>
    <col min="3025" max="3025" width="17.5703125" style="3" customWidth="1"/>
    <col min="3026" max="3026" width="22.85546875" style="3" customWidth="1"/>
    <col min="3027" max="3027" width="27.42578125" style="3" customWidth="1"/>
    <col min="3028" max="3028" width="8.5703125" style="3" customWidth="1"/>
    <col min="3029" max="3030" width="8.42578125" style="3" customWidth="1"/>
    <col min="3031" max="3031" width="8.7109375" style="3" customWidth="1"/>
    <col min="3032" max="3032" width="8.42578125" style="3" customWidth="1"/>
    <col min="3033" max="3033" width="4.5703125" style="3" customWidth="1"/>
    <col min="3034" max="3034" width="5" style="3" customWidth="1"/>
    <col min="3035" max="3035" width="7" style="3" customWidth="1"/>
    <col min="3036" max="3036" width="5.5703125" style="3" customWidth="1"/>
    <col min="3037" max="3037" width="8.42578125" style="3" customWidth="1"/>
    <col min="3038" max="3039" width="5.140625" style="3" customWidth="1"/>
    <col min="3040" max="3040" width="6.5703125" style="3" customWidth="1"/>
    <col min="3041" max="3041" width="5" style="3" customWidth="1"/>
    <col min="3042" max="3042" width="4.5703125" style="3" customWidth="1"/>
    <col min="3043" max="3043" width="5.7109375" style="3" customWidth="1"/>
    <col min="3044" max="3044" width="4.85546875" style="3" customWidth="1"/>
    <col min="3045" max="3045" width="4" style="3" customWidth="1"/>
    <col min="3046" max="3046" width="4.7109375" style="3" customWidth="1"/>
    <col min="3047" max="3060" width="5.140625" style="3" customWidth="1"/>
    <col min="3061" max="3063" width="9.42578125" style="3" customWidth="1"/>
    <col min="3064" max="3064" width="5.5703125" style="3" customWidth="1"/>
    <col min="3065" max="3065" width="5.85546875" style="3" customWidth="1"/>
    <col min="3066" max="3066" width="10" style="3" customWidth="1"/>
    <col min="3067" max="3268" width="9.140625" style="3"/>
    <col min="3269" max="3269" width="3.85546875" style="3" customWidth="1"/>
    <col min="3270" max="3270" width="5.28515625" style="3" customWidth="1"/>
    <col min="3271" max="3271" width="5" style="3" customWidth="1"/>
    <col min="3272" max="3272" width="13.85546875" style="3" customWidth="1"/>
    <col min="3273" max="3273" width="6" style="3" customWidth="1"/>
    <col min="3274" max="3274" width="2.85546875" style="3" customWidth="1"/>
    <col min="3275" max="3275" width="5.140625" style="3" customWidth="1"/>
    <col min="3276" max="3276" width="8.7109375" style="3" customWidth="1"/>
    <col min="3277" max="3277" width="4.28515625" style="3" customWidth="1"/>
    <col min="3278" max="3278" width="8.85546875" style="3" customWidth="1"/>
    <col min="3279" max="3279" width="6.5703125" style="3" customWidth="1"/>
    <col min="3280" max="3280" width="9" style="3" customWidth="1"/>
    <col min="3281" max="3281" width="17.5703125" style="3" customWidth="1"/>
    <col min="3282" max="3282" width="22.85546875" style="3" customWidth="1"/>
    <col min="3283" max="3283" width="27.42578125" style="3" customWidth="1"/>
    <col min="3284" max="3284" width="8.5703125" style="3" customWidth="1"/>
    <col min="3285" max="3286" width="8.42578125" style="3" customWidth="1"/>
    <col min="3287" max="3287" width="8.7109375" style="3" customWidth="1"/>
    <col min="3288" max="3288" width="8.42578125" style="3" customWidth="1"/>
    <col min="3289" max="3289" width="4.5703125" style="3" customWidth="1"/>
    <col min="3290" max="3290" width="5" style="3" customWidth="1"/>
    <col min="3291" max="3291" width="7" style="3" customWidth="1"/>
    <col min="3292" max="3292" width="5.5703125" style="3" customWidth="1"/>
    <col min="3293" max="3293" width="8.42578125" style="3" customWidth="1"/>
    <col min="3294" max="3295" width="5.140625" style="3" customWidth="1"/>
    <col min="3296" max="3296" width="6.5703125" style="3" customWidth="1"/>
    <col min="3297" max="3297" width="5" style="3" customWidth="1"/>
    <col min="3298" max="3298" width="4.5703125" style="3" customWidth="1"/>
    <col min="3299" max="3299" width="5.7109375" style="3" customWidth="1"/>
    <col min="3300" max="3300" width="4.85546875" style="3" customWidth="1"/>
    <col min="3301" max="3301" width="4" style="3" customWidth="1"/>
    <col min="3302" max="3302" width="4.7109375" style="3" customWidth="1"/>
    <col min="3303" max="3316" width="5.140625" style="3" customWidth="1"/>
    <col min="3317" max="3319" width="9.42578125" style="3" customWidth="1"/>
    <col min="3320" max="3320" width="5.5703125" style="3" customWidth="1"/>
    <col min="3321" max="3321" width="5.85546875" style="3" customWidth="1"/>
    <col min="3322" max="3322" width="10" style="3" customWidth="1"/>
    <col min="3323" max="3524" width="9.140625" style="3"/>
    <col min="3525" max="3525" width="3.85546875" style="3" customWidth="1"/>
    <col min="3526" max="3526" width="5.28515625" style="3" customWidth="1"/>
    <col min="3527" max="3527" width="5" style="3" customWidth="1"/>
    <col min="3528" max="3528" width="13.85546875" style="3" customWidth="1"/>
    <col min="3529" max="3529" width="6" style="3" customWidth="1"/>
    <col min="3530" max="3530" width="2.85546875" style="3" customWidth="1"/>
    <col min="3531" max="3531" width="5.140625" style="3" customWidth="1"/>
    <col min="3532" max="3532" width="8.7109375" style="3" customWidth="1"/>
    <col min="3533" max="3533" width="4.28515625" style="3" customWidth="1"/>
    <col min="3534" max="3534" width="8.85546875" style="3" customWidth="1"/>
    <col min="3535" max="3535" width="6.5703125" style="3" customWidth="1"/>
    <col min="3536" max="3536" width="9" style="3" customWidth="1"/>
    <col min="3537" max="3537" width="17.5703125" style="3" customWidth="1"/>
    <col min="3538" max="3538" width="22.85546875" style="3" customWidth="1"/>
    <col min="3539" max="3539" width="27.42578125" style="3" customWidth="1"/>
    <col min="3540" max="3540" width="8.5703125" style="3" customWidth="1"/>
    <col min="3541" max="3542" width="8.42578125" style="3" customWidth="1"/>
    <col min="3543" max="3543" width="8.7109375" style="3" customWidth="1"/>
    <col min="3544" max="3544" width="8.42578125" style="3" customWidth="1"/>
    <col min="3545" max="3545" width="4.5703125" style="3" customWidth="1"/>
    <col min="3546" max="3546" width="5" style="3" customWidth="1"/>
    <col min="3547" max="3547" width="7" style="3" customWidth="1"/>
    <col min="3548" max="3548" width="5.5703125" style="3" customWidth="1"/>
    <col min="3549" max="3549" width="8.42578125" style="3" customWidth="1"/>
    <col min="3550" max="3551" width="5.140625" style="3" customWidth="1"/>
    <col min="3552" max="3552" width="6.5703125" style="3" customWidth="1"/>
    <col min="3553" max="3553" width="5" style="3" customWidth="1"/>
    <col min="3554" max="3554" width="4.5703125" style="3" customWidth="1"/>
    <col min="3555" max="3555" width="5.7109375" style="3" customWidth="1"/>
    <col min="3556" max="3556" width="4.85546875" style="3" customWidth="1"/>
    <col min="3557" max="3557" width="4" style="3" customWidth="1"/>
    <col min="3558" max="3558" width="4.7109375" style="3" customWidth="1"/>
    <col min="3559" max="3572" width="5.140625" style="3" customWidth="1"/>
    <col min="3573" max="3575" width="9.42578125" style="3" customWidth="1"/>
    <col min="3576" max="3576" width="5.5703125" style="3" customWidth="1"/>
    <col min="3577" max="3577" width="5.85546875" style="3" customWidth="1"/>
    <col min="3578" max="3578" width="10" style="3" customWidth="1"/>
    <col min="3579" max="3780" width="9.140625" style="3"/>
    <col min="3781" max="3781" width="3.85546875" style="3" customWidth="1"/>
    <col min="3782" max="3782" width="5.28515625" style="3" customWidth="1"/>
    <col min="3783" max="3783" width="5" style="3" customWidth="1"/>
    <col min="3784" max="3784" width="13.85546875" style="3" customWidth="1"/>
    <col min="3785" max="3785" width="6" style="3" customWidth="1"/>
    <col min="3786" max="3786" width="2.85546875" style="3" customWidth="1"/>
    <col min="3787" max="3787" width="5.140625" style="3" customWidth="1"/>
    <col min="3788" max="3788" width="8.7109375" style="3" customWidth="1"/>
    <col min="3789" max="3789" width="4.28515625" style="3" customWidth="1"/>
    <col min="3790" max="3790" width="8.85546875" style="3" customWidth="1"/>
    <col min="3791" max="3791" width="6.5703125" style="3" customWidth="1"/>
    <col min="3792" max="3792" width="9" style="3" customWidth="1"/>
    <col min="3793" max="3793" width="17.5703125" style="3" customWidth="1"/>
    <col min="3794" max="3794" width="22.85546875" style="3" customWidth="1"/>
    <col min="3795" max="3795" width="27.42578125" style="3" customWidth="1"/>
    <col min="3796" max="3796" width="8.5703125" style="3" customWidth="1"/>
    <col min="3797" max="3798" width="8.42578125" style="3" customWidth="1"/>
    <col min="3799" max="3799" width="8.7109375" style="3" customWidth="1"/>
    <col min="3800" max="3800" width="8.42578125" style="3" customWidth="1"/>
    <col min="3801" max="3801" width="4.5703125" style="3" customWidth="1"/>
    <col min="3802" max="3802" width="5" style="3" customWidth="1"/>
    <col min="3803" max="3803" width="7" style="3" customWidth="1"/>
    <col min="3804" max="3804" width="5.5703125" style="3" customWidth="1"/>
    <col min="3805" max="3805" width="8.42578125" style="3" customWidth="1"/>
    <col min="3806" max="3807" width="5.140625" style="3" customWidth="1"/>
    <col min="3808" max="3808" width="6.5703125" style="3" customWidth="1"/>
    <col min="3809" max="3809" width="5" style="3" customWidth="1"/>
    <col min="3810" max="3810" width="4.5703125" style="3" customWidth="1"/>
    <col min="3811" max="3811" width="5.7109375" style="3" customWidth="1"/>
    <col min="3812" max="3812" width="4.85546875" style="3" customWidth="1"/>
    <col min="3813" max="3813" width="4" style="3" customWidth="1"/>
    <col min="3814" max="3814" width="4.7109375" style="3" customWidth="1"/>
    <col min="3815" max="3828" width="5.140625" style="3" customWidth="1"/>
    <col min="3829" max="3831" width="9.42578125" style="3" customWidth="1"/>
    <col min="3832" max="3832" width="5.5703125" style="3" customWidth="1"/>
    <col min="3833" max="3833" width="5.85546875" style="3" customWidth="1"/>
    <col min="3834" max="3834" width="10" style="3" customWidth="1"/>
    <col min="3835" max="4036" width="9.140625" style="3"/>
    <col min="4037" max="4037" width="3.85546875" style="3" customWidth="1"/>
    <col min="4038" max="4038" width="5.28515625" style="3" customWidth="1"/>
    <col min="4039" max="4039" width="5" style="3" customWidth="1"/>
    <col min="4040" max="4040" width="13.85546875" style="3" customWidth="1"/>
    <col min="4041" max="4041" width="6" style="3" customWidth="1"/>
    <col min="4042" max="4042" width="2.85546875" style="3" customWidth="1"/>
    <col min="4043" max="4043" width="5.140625" style="3" customWidth="1"/>
    <col min="4044" max="4044" width="8.7109375" style="3" customWidth="1"/>
    <col min="4045" max="4045" width="4.28515625" style="3" customWidth="1"/>
    <col min="4046" max="4046" width="8.85546875" style="3" customWidth="1"/>
    <col min="4047" max="4047" width="6.5703125" style="3" customWidth="1"/>
    <col min="4048" max="4048" width="9" style="3" customWidth="1"/>
    <col min="4049" max="4049" width="17.5703125" style="3" customWidth="1"/>
    <col min="4050" max="4050" width="22.85546875" style="3" customWidth="1"/>
    <col min="4051" max="4051" width="27.42578125" style="3" customWidth="1"/>
    <col min="4052" max="4052" width="8.5703125" style="3" customWidth="1"/>
    <col min="4053" max="4054" width="8.42578125" style="3" customWidth="1"/>
    <col min="4055" max="4055" width="8.7109375" style="3" customWidth="1"/>
    <col min="4056" max="4056" width="8.42578125" style="3" customWidth="1"/>
    <col min="4057" max="4057" width="4.5703125" style="3" customWidth="1"/>
    <col min="4058" max="4058" width="5" style="3" customWidth="1"/>
    <col min="4059" max="4059" width="7" style="3" customWidth="1"/>
    <col min="4060" max="4060" width="5.5703125" style="3" customWidth="1"/>
    <col min="4061" max="4061" width="8.42578125" style="3" customWidth="1"/>
    <col min="4062" max="4063" width="5.140625" style="3" customWidth="1"/>
    <col min="4064" max="4064" width="6.5703125" style="3" customWidth="1"/>
    <col min="4065" max="4065" width="5" style="3" customWidth="1"/>
    <col min="4066" max="4066" width="4.5703125" style="3" customWidth="1"/>
    <col min="4067" max="4067" width="5.7109375" style="3" customWidth="1"/>
    <col min="4068" max="4068" width="4.85546875" style="3" customWidth="1"/>
    <col min="4069" max="4069" width="4" style="3" customWidth="1"/>
    <col min="4070" max="4070" width="4.7109375" style="3" customWidth="1"/>
    <col min="4071" max="4084" width="5.140625" style="3" customWidth="1"/>
    <col min="4085" max="4087" width="9.42578125" style="3" customWidth="1"/>
    <col min="4088" max="4088" width="5.5703125" style="3" customWidth="1"/>
    <col min="4089" max="4089" width="5.85546875" style="3" customWidth="1"/>
    <col min="4090" max="4090" width="10" style="3" customWidth="1"/>
    <col min="4091" max="4292" width="9.140625" style="3"/>
    <col min="4293" max="4293" width="3.85546875" style="3" customWidth="1"/>
    <col min="4294" max="4294" width="5.28515625" style="3" customWidth="1"/>
    <col min="4295" max="4295" width="5" style="3" customWidth="1"/>
    <col min="4296" max="4296" width="13.85546875" style="3" customWidth="1"/>
    <col min="4297" max="4297" width="6" style="3" customWidth="1"/>
    <col min="4298" max="4298" width="2.85546875" style="3" customWidth="1"/>
    <col min="4299" max="4299" width="5.140625" style="3" customWidth="1"/>
    <col min="4300" max="4300" width="8.7109375" style="3" customWidth="1"/>
    <col min="4301" max="4301" width="4.28515625" style="3" customWidth="1"/>
    <col min="4302" max="4302" width="8.85546875" style="3" customWidth="1"/>
    <col min="4303" max="4303" width="6.5703125" style="3" customWidth="1"/>
    <col min="4304" max="4304" width="9" style="3" customWidth="1"/>
    <col min="4305" max="4305" width="17.5703125" style="3" customWidth="1"/>
    <col min="4306" max="4306" width="22.85546875" style="3" customWidth="1"/>
    <col min="4307" max="4307" width="27.42578125" style="3" customWidth="1"/>
    <col min="4308" max="4308" width="8.5703125" style="3" customWidth="1"/>
    <col min="4309" max="4310" width="8.42578125" style="3" customWidth="1"/>
    <col min="4311" max="4311" width="8.7109375" style="3" customWidth="1"/>
    <col min="4312" max="4312" width="8.42578125" style="3" customWidth="1"/>
    <col min="4313" max="4313" width="4.5703125" style="3" customWidth="1"/>
    <col min="4314" max="4314" width="5" style="3" customWidth="1"/>
    <col min="4315" max="4315" width="7" style="3" customWidth="1"/>
    <col min="4316" max="4316" width="5.5703125" style="3" customWidth="1"/>
    <col min="4317" max="4317" width="8.42578125" style="3" customWidth="1"/>
    <col min="4318" max="4319" width="5.140625" style="3" customWidth="1"/>
    <col min="4320" max="4320" width="6.5703125" style="3" customWidth="1"/>
    <col min="4321" max="4321" width="5" style="3" customWidth="1"/>
    <col min="4322" max="4322" width="4.5703125" style="3" customWidth="1"/>
    <col min="4323" max="4323" width="5.7109375" style="3" customWidth="1"/>
    <col min="4324" max="4324" width="4.85546875" style="3" customWidth="1"/>
    <col min="4325" max="4325" width="4" style="3" customWidth="1"/>
    <col min="4326" max="4326" width="4.7109375" style="3" customWidth="1"/>
    <col min="4327" max="4340" width="5.140625" style="3" customWidth="1"/>
    <col min="4341" max="4343" width="9.42578125" style="3" customWidth="1"/>
    <col min="4344" max="4344" width="5.5703125" style="3" customWidth="1"/>
    <col min="4345" max="4345" width="5.85546875" style="3" customWidth="1"/>
    <col min="4346" max="4346" width="10" style="3" customWidth="1"/>
    <col min="4347" max="4548" width="9.140625" style="3"/>
    <col min="4549" max="4549" width="3.85546875" style="3" customWidth="1"/>
    <col min="4550" max="4550" width="5.28515625" style="3" customWidth="1"/>
    <col min="4551" max="4551" width="5" style="3" customWidth="1"/>
    <col min="4552" max="4552" width="13.85546875" style="3" customWidth="1"/>
    <col min="4553" max="4553" width="6" style="3" customWidth="1"/>
    <col min="4554" max="4554" width="2.85546875" style="3" customWidth="1"/>
    <col min="4555" max="4555" width="5.140625" style="3" customWidth="1"/>
    <col min="4556" max="4556" width="8.7109375" style="3" customWidth="1"/>
    <col min="4557" max="4557" width="4.28515625" style="3" customWidth="1"/>
    <col min="4558" max="4558" width="8.85546875" style="3" customWidth="1"/>
    <col min="4559" max="4559" width="6.5703125" style="3" customWidth="1"/>
    <col min="4560" max="4560" width="9" style="3" customWidth="1"/>
    <col min="4561" max="4561" width="17.5703125" style="3" customWidth="1"/>
    <col min="4562" max="4562" width="22.85546875" style="3" customWidth="1"/>
    <col min="4563" max="4563" width="27.42578125" style="3" customWidth="1"/>
    <col min="4564" max="4564" width="8.5703125" style="3" customWidth="1"/>
    <col min="4565" max="4566" width="8.42578125" style="3" customWidth="1"/>
    <col min="4567" max="4567" width="8.7109375" style="3" customWidth="1"/>
    <col min="4568" max="4568" width="8.42578125" style="3" customWidth="1"/>
    <col min="4569" max="4569" width="4.5703125" style="3" customWidth="1"/>
    <col min="4570" max="4570" width="5" style="3" customWidth="1"/>
    <col min="4571" max="4571" width="7" style="3" customWidth="1"/>
    <col min="4572" max="4572" width="5.5703125" style="3" customWidth="1"/>
    <col min="4573" max="4573" width="8.42578125" style="3" customWidth="1"/>
    <col min="4574" max="4575" width="5.140625" style="3" customWidth="1"/>
    <col min="4576" max="4576" width="6.5703125" style="3" customWidth="1"/>
    <col min="4577" max="4577" width="5" style="3" customWidth="1"/>
    <col min="4578" max="4578" width="4.5703125" style="3" customWidth="1"/>
    <col min="4579" max="4579" width="5.7109375" style="3" customWidth="1"/>
    <col min="4580" max="4580" width="4.85546875" style="3" customWidth="1"/>
    <col min="4581" max="4581" width="4" style="3" customWidth="1"/>
    <col min="4582" max="4582" width="4.7109375" style="3" customWidth="1"/>
    <col min="4583" max="4596" width="5.140625" style="3" customWidth="1"/>
    <col min="4597" max="4599" width="9.42578125" style="3" customWidth="1"/>
    <col min="4600" max="4600" width="5.5703125" style="3" customWidth="1"/>
    <col min="4601" max="4601" width="5.85546875" style="3" customWidth="1"/>
    <col min="4602" max="4602" width="10" style="3" customWidth="1"/>
    <col min="4603" max="4804" width="9.140625" style="3"/>
    <col min="4805" max="4805" width="3.85546875" style="3" customWidth="1"/>
    <col min="4806" max="4806" width="5.28515625" style="3" customWidth="1"/>
    <col min="4807" max="4807" width="5" style="3" customWidth="1"/>
    <col min="4808" max="4808" width="13.85546875" style="3" customWidth="1"/>
    <col min="4809" max="4809" width="6" style="3" customWidth="1"/>
    <col min="4810" max="4810" width="2.85546875" style="3" customWidth="1"/>
    <col min="4811" max="4811" width="5.140625" style="3" customWidth="1"/>
    <col min="4812" max="4812" width="8.7109375" style="3" customWidth="1"/>
    <col min="4813" max="4813" width="4.28515625" style="3" customWidth="1"/>
    <col min="4814" max="4814" width="8.85546875" style="3" customWidth="1"/>
    <col min="4815" max="4815" width="6.5703125" style="3" customWidth="1"/>
    <col min="4816" max="4816" width="9" style="3" customWidth="1"/>
    <col min="4817" max="4817" width="17.5703125" style="3" customWidth="1"/>
    <col min="4818" max="4818" width="22.85546875" style="3" customWidth="1"/>
    <col min="4819" max="4819" width="27.42578125" style="3" customWidth="1"/>
    <col min="4820" max="4820" width="8.5703125" style="3" customWidth="1"/>
    <col min="4821" max="4822" width="8.42578125" style="3" customWidth="1"/>
    <col min="4823" max="4823" width="8.7109375" style="3" customWidth="1"/>
    <col min="4824" max="4824" width="8.42578125" style="3" customWidth="1"/>
    <col min="4825" max="4825" width="4.5703125" style="3" customWidth="1"/>
    <col min="4826" max="4826" width="5" style="3" customWidth="1"/>
    <col min="4827" max="4827" width="7" style="3" customWidth="1"/>
    <col min="4828" max="4828" width="5.5703125" style="3" customWidth="1"/>
    <col min="4829" max="4829" width="8.42578125" style="3" customWidth="1"/>
    <col min="4830" max="4831" width="5.140625" style="3" customWidth="1"/>
    <col min="4832" max="4832" width="6.5703125" style="3" customWidth="1"/>
    <col min="4833" max="4833" width="5" style="3" customWidth="1"/>
    <col min="4834" max="4834" width="4.5703125" style="3" customWidth="1"/>
    <col min="4835" max="4835" width="5.7109375" style="3" customWidth="1"/>
    <col min="4836" max="4836" width="4.85546875" style="3" customWidth="1"/>
    <col min="4837" max="4837" width="4" style="3" customWidth="1"/>
    <col min="4838" max="4838" width="4.7109375" style="3" customWidth="1"/>
    <col min="4839" max="4852" width="5.140625" style="3" customWidth="1"/>
    <col min="4853" max="4855" width="9.42578125" style="3" customWidth="1"/>
    <col min="4856" max="4856" width="5.5703125" style="3" customWidth="1"/>
    <col min="4857" max="4857" width="5.85546875" style="3" customWidth="1"/>
    <col min="4858" max="4858" width="10" style="3" customWidth="1"/>
    <col min="4859" max="5060" width="9.140625" style="3"/>
    <col min="5061" max="5061" width="3.85546875" style="3" customWidth="1"/>
    <col min="5062" max="5062" width="5.28515625" style="3" customWidth="1"/>
    <col min="5063" max="5063" width="5" style="3" customWidth="1"/>
    <col min="5064" max="5064" width="13.85546875" style="3" customWidth="1"/>
    <col min="5065" max="5065" width="6" style="3" customWidth="1"/>
    <col min="5066" max="5066" width="2.85546875" style="3" customWidth="1"/>
    <col min="5067" max="5067" width="5.140625" style="3" customWidth="1"/>
    <col min="5068" max="5068" width="8.7109375" style="3" customWidth="1"/>
    <col min="5069" max="5069" width="4.28515625" style="3" customWidth="1"/>
    <col min="5070" max="5070" width="8.85546875" style="3" customWidth="1"/>
    <col min="5071" max="5071" width="6.5703125" style="3" customWidth="1"/>
    <col min="5072" max="5072" width="9" style="3" customWidth="1"/>
    <col min="5073" max="5073" width="17.5703125" style="3" customWidth="1"/>
    <col min="5074" max="5074" width="22.85546875" style="3" customWidth="1"/>
    <col min="5075" max="5075" width="27.42578125" style="3" customWidth="1"/>
    <col min="5076" max="5076" width="8.5703125" style="3" customWidth="1"/>
    <col min="5077" max="5078" width="8.42578125" style="3" customWidth="1"/>
    <col min="5079" max="5079" width="8.7109375" style="3" customWidth="1"/>
    <col min="5080" max="5080" width="8.42578125" style="3" customWidth="1"/>
    <col min="5081" max="5081" width="4.5703125" style="3" customWidth="1"/>
    <col min="5082" max="5082" width="5" style="3" customWidth="1"/>
    <col min="5083" max="5083" width="7" style="3" customWidth="1"/>
    <col min="5084" max="5084" width="5.5703125" style="3" customWidth="1"/>
    <col min="5085" max="5085" width="8.42578125" style="3" customWidth="1"/>
    <col min="5086" max="5087" width="5.140625" style="3" customWidth="1"/>
    <col min="5088" max="5088" width="6.5703125" style="3" customWidth="1"/>
    <col min="5089" max="5089" width="5" style="3" customWidth="1"/>
    <col min="5090" max="5090" width="4.5703125" style="3" customWidth="1"/>
    <col min="5091" max="5091" width="5.7109375" style="3" customWidth="1"/>
    <col min="5092" max="5092" width="4.85546875" style="3" customWidth="1"/>
    <col min="5093" max="5093" width="4" style="3" customWidth="1"/>
    <col min="5094" max="5094" width="4.7109375" style="3" customWidth="1"/>
    <col min="5095" max="5108" width="5.140625" style="3" customWidth="1"/>
    <col min="5109" max="5111" width="9.42578125" style="3" customWidth="1"/>
    <col min="5112" max="5112" width="5.5703125" style="3" customWidth="1"/>
    <col min="5113" max="5113" width="5.85546875" style="3" customWidth="1"/>
    <col min="5114" max="5114" width="10" style="3" customWidth="1"/>
    <col min="5115" max="5316" width="9.140625" style="3"/>
    <col min="5317" max="5317" width="3.85546875" style="3" customWidth="1"/>
    <col min="5318" max="5318" width="5.28515625" style="3" customWidth="1"/>
    <col min="5319" max="5319" width="5" style="3" customWidth="1"/>
    <col min="5320" max="5320" width="13.85546875" style="3" customWidth="1"/>
    <col min="5321" max="5321" width="6" style="3" customWidth="1"/>
    <col min="5322" max="5322" width="2.85546875" style="3" customWidth="1"/>
    <col min="5323" max="5323" width="5.140625" style="3" customWidth="1"/>
    <col min="5324" max="5324" width="8.7109375" style="3" customWidth="1"/>
    <col min="5325" max="5325" width="4.28515625" style="3" customWidth="1"/>
    <col min="5326" max="5326" width="8.85546875" style="3" customWidth="1"/>
    <col min="5327" max="5327" width="6.5703125" style="3" customWidth="1"/>
    <col min="5328" max="5328" width="9" style="3" customWidth="1"/>
    <col min="5329" max="5329" width="17.5703125" style="3" customWidth="1"/>
    <col min="5330" max="5330" width="22.85546875" style="3" customWidth="1"/>
    <col min="5331" max="5331" width="27.42578125" style="3" customWidth="1"/>
    <col min="5332" max="5332" width="8.5703125" style="3" customWidth="1"/>
    <col min="5333" max="5334" width="8.42578125" style="3" customWidth="1"/>
    <col min="5335" max="5335" width="8.7109375" style="3" customWidth="1"/>
    <col min="5336" max="5336" width="8.42578125" style="3" customWidth="1"/>
    <col min="5337" max="5337" width="4.5703125" style="3" customWidth="1"/>
    <col min="5338" max="5338" width="5" style="3" customWidth="1"/>
    <col min="5339" max="5339" width="7" style="3" customWidth="1"/>
    <col min="5340" max="5340" width="5.5703125" style="3" customWidth="1"/>
    <col min="5341" max="5341" width="8.42578125" style="3" customWidth="1"/>
    <col min="5342" max="5343" width="5.140625" style="3" customWidth="1"/>
    <col min="5344" max="5344" width="6.5703125" style="3" customWidth="1"/>
    <col min="5345" max="5345" width="5" style="3" customWidth="1"/>
    <col min="5346" max="5346" width="4.5703125" style="3" customWidth="1"/>
    <col min="5347" max="5347" width="5.7109375" style="3" customWidth="1"/>
    <col min="5348" max="5348" width="4.85546875" style="3" customWidth="1"/>
    <col min="5349" max="5349" width="4" style="3" customWidth="1"/>
    <col min="5350" max="5350" width="4.7109375" style="3" customWidth="1"/>
    <col min="5351" max="5364" width="5.140625" style="3" customWidth="1"/>
    <col min="5365" max="5367" width="9.42578125" style="3" customWidth="1"/>
    <col min="5368" max="5368" width="5.5703125" style="3" customWidth="1"/>
    <col min="5369" max="5369" width="5.85546875" style="3" customWidth="1"/>
    <col min="5370" max="5370" width="10" style="3" customWidth="1"/>
    <col min="5371" max="5572" width="9.140625" style="3"/>
    <col min="5573" max="5573" width="3.85546875" style="3" customWidth="1"/>
    <col min="5574" max="5574" width="5.28515625" style="3" customWidth="1"/>
    <col min="5575" max="5575" width="5" style="3" customWidth="1"/>
    <col min="5576" max="5576" width="13.85546875" style="3" customWidth="1"/>
    <col min="5577" max="5577" width="6" style="3" customWidth="1"/>
    <col min="5578" max="5578" width="2.85546875" style="3" customWidth="1"/>
    <col min="5579" max="5579" width="5.140625" style="3" customWidth="1"/>
    <col min="5580" max="5580" width="8.7109375" style="3" customWidth="1"/>
    <col min="5581" max="5581" width="4.28515625" style="3" customWidth="1"/>
    <col min="5582" max="5582" width="8.85546875" style="3" customWidth="1"/>
    <col min="5583" max="5583" width="6.5703125" style="3" customWidth="1"/>
    <col min="5584" max="5584" width="9" style="3" customWidth="1"/>
    <col min="5585" max="5585" width="17.5703125" style="3" customWidth="1"/>
    <col min="5586" max="5586" width="22.85546875" style="3" customWidth="1"/>
    <col min="5587" max="5587" width="27.42578125" style="3" customWidth="1"/>
    <col min="5588" max="5588" width="8.5703125" style="3" customWidth="1"/>
    <col min="5589" max="5590" width="8.42578125" style="3" customWidth="1"/>
    <col min="5591" max="5591" width="8.7109375" style="3" customWidth="1"/>
    <col min="5592" max="5592" width="8.42578125" style="3" customWidth="1"/>
    <col min="5593" max="5593" width="4.5703125" style="3" customWidth="1"/>
    <col min="5594" max="5594" width="5" style="3" customWidth="1"/>
    <col min="5595" max="5595" width="7" style="3" customWidth="1"/>
    <col min="5596" max="5596" width="5.5703125" style="3" customWidth="1"/>
    <col min="5597" max="5597" width="8.42578125" style="3" customWidth="1"/>
    <col min="5598" max="5599" width="5.140625" style="3" customWidth="1"/>
    <col min="5600" max="5600" width="6.5703125" style="3" customWidth="1"/>
    <col min="5601" max="5601" width="5" style="3" customWidth="1"/>
    <col min="5602" max="5602" width="4.5703125" style="3" customWidth="1"/>
    <col min="5603" max="5603" width="5.7109375" style="3" customWidth="1"/>
    <col min="5604" max="5604" width="4.85546875" style="3" customWidth="1"/>
    <col min="5605" max="5605" width="4" style="3" customWidth="1"/>
    <col min="5606" max="5606" width="4.7109375" style="3" customWidth="1"/>
    <col min="5607" max="5620" width="5.140625" style="3" customWidth="1"/>
    <col min="5621" max="5623" width="9.42578125" style="3" customWidth="1"/>
    <col min="5624" max="5624" width="5.5703125" style="3" customWidth="1"/>
    <col min="5625" max="5625" width="5.85546875" style="3" customWidth="1"/>
    <col min="5626" max="5626" width="10" style="3" customWidth="1"/>
    <col min="5627" max="5828" width="9.140625" style="3"/>
    <col min="5829" max="5829" width="3.85546875" style="3" customWidth="1"/>
    <col min="5830" max="5830" width="5.28515625" style="3" customWidth="1"/>
    <col min="5831" max="5831" width="5" style="3" customWidth="1"/>
    <col min="5832" max="5832" width="13.85546875" style="3" customWidth="1"/>
    <col min="5833" max="5833" width="6" style="3" customWidth="1"/>
    <col min="5834" max="5834" width="2.85546875" style="3" customWidth="1"/>
    <col min="5835" max="5835" width="5.140625" style="3" customWidth="1"/>
    <col min="5836" max="5836" width="8.7109375" style="3" customWidth="1"/>
    <col min="5837" max="5837" width="4.28515625" style="3" customWidth="1"/>
    <col min="5838" max="5838" width="8.85546875" style="3" customWidth="1"/>
    <col min="5839" max="5839" width="6.5703125" style="3" customWidth="1"/>
    <col min="5840" max="5840" width="9" style="3" customWidth="1"/>
    <col min="5841" max="5841" width="17.5703125" style="3" customWidth="1"/>
    <col min="5842" max="5842" width="22.85546875" style="3" customWidth="1"/>
    <col min="5843" max="5843" width="27.42578125" style="3" customWidth="1"/>
    <col min="5844" max="5844" width="8.5703125" style="3" customWidth="1"/>
    <col min="5845" max="5846" width="8.42578125" style="3" customWidth="1"/>
    <col min="5847" max="5847" width="8.7109375" style="3" customWidth="1"/>
    <col min="5848" max="5848" width="8.42578125" style="3" customWidth="1"/>
    <col min="5849" max="5849" width="4.5703125" style="3" customWidth="1"/>
    <col min="5850" max="5850" width="5" style="3" customWidth="1"/>
    <col min="5851" max="5851" width="7" style="3" customWidth="1"/>
    <col min="5852" max="5852" width="5.5703125" style="3" customWidth="1"/>
    <col min="5853" max="5853" width="8.42578125" style="3" customWidth="1"/>
    <col min="5854" max="5855" width="5.140625" style="3" customWidth="1"/>
    <col min="5856" max="5856" width="6.5703125" style="3" customWidth="1"/>
    <col min="5857" max="5857" width="5" style="3" customWidth="1"/>
    <col min="5858" max="5858" width="4.5703125" style="3" customWidth="1"/>
    <col min="5859" max="5859" width="5.7109375" style="3" customWidth="1"/>
    <col min="5860" max="5860" width="4.85546875" style="3" customWidth="1"/>
    <col min="5861" max="5861" width="4" style="3" customWidth="1"/>
    <col min="5862" max="5862" width="4.7109375" style="3" customWidth="1"/>
    <col min="5863" max="5876" width="5.140625" style="3" customWidth="1"/>
    <col min="5877" max="5879" width="9.42578125" style="3" customWidth="1"/>
    <col min="5880" max="5880" width="5.5703125" style="3" customWidth="1"/>
    <col min="5881" max="5881" width="5.85546875" style="3" customWidth="1"/>
    <col min="5882" max="5882" width="10" style="3" customWidth="1"/>
    <col min="5883" max="6084" width="9.140625" style="3"/>
    <col min="6085" max="6085" width="3.85546875" style="3" customWidth="1"/>
    <col min="6086" max="6086" width="5.28515625" style="3" customWidth="1"/>
    <col min="6087" max="6087" width="5" style="3" customWidth="1"/>
    <col min="6088" max="6088" width="13.85546875" style="3" customWidth="1"/>
    <col min="6089" max="6089" width="6" style="3" customWidth="1"/>
    <col min="6090" max="6090" width="2.85546875" style="3" customWidth="1"/>
    <col min="6091" max="6091" width="5.140625" style="3" customWidth="1"/>
    <col min="6092" max="6092" width="8.7109375" style="3" customWidth="1"/>
    <col min="6093" max="6093" width="4.28515625" style="3" customWidth="1"/>
    <col min="6094" max="6094" width="8.85546875" style="3" customWidth="1"/>
    <col min="6095" max="6095" width="6.5703125" style="3" customWidth="1"/>
    <col min="6096" max="6096" width="9" style="3" customWidth="1"/>
    <col min="6097" max="6097" width="17.5703125" style="3" customWidth="1"/>
    <col min="6098" max="6098" width="22.85546875" style="3" customWidth="1"/>
    <col min="6099" max="6099" width="27.42578125" style="3" customWidth="1"/>
    <col min="6100" max="6100" width="8.5703125" style="3" customWidth="1"/>
    <col min="6101" max="6102" width="8.42578125" style="3" customWidth="1"/>
    <col min="6103" max="6103" width="8.7109375" style="3" customWidth="1"/>
    <col min="6104" max="6104" width="8.42578125" style="3" customWidth="1"/>
    <col min="6105" max="6105" width="4.5703125" style="3" customWidth="1"/>
    <col min="6106" max="6106" width="5" style="3" customWidth="1"/>
    <col min="6107" max="6107" width="7" style="3" customWidth="1"/>
    <col min="6108" max="6108" width="5.5703125" style="3" customWidth="1"/>
    <col min="6109" max="6109" width="8.42578125" style="3" customWidth="1"/>
    <col min="6110" max="6111" width="5.140625" style="3" customWidth="1"/>
    <col min="6112" max="6112" width="6.5703125" style="3" customWidth="1"/>
    <col min="6113" max="6113" width="5" style="3" customWidth="1"/>
    <col min="6114" max="6114" width="4.5703125" style="3" customWidth="1"/>
    <col min="6115" max="6115" width="5.7109375" style="3" customWidth="1"/>
    <col min="6116" max="6116" width="4.85546875" style="3" customWidth="1"/>
    <col min="6117" max="6117" width="4" style="3" customWidth="1"/>
    <col min="6118" max="6118" width="4.7109375" style="3" customWidth="1"/>
    <col min="6119" max="6132" width="5.140625" style="3" customWidth="1"/>
    <col min="6133" max="6135" width="9.42578125" style="3" customWidth="1"/>
    <col min="6136" max="6136" width="5.5703125" style="3" customWidth="1"/>
    <col min="6137" max="6137" width="5.85546875" style="3" customWidth="1"/>
    <col min="6138" max="6138" width="10" style="3" customWidth="1"/>
    <col min="6139" max="6340" width="9.140625" style="3"/>
    <col min="6341" max="6341" width="3.85546875" style="3" customWidth="1"/>
    <col min="6342" max="6342" width="5.28515625" style="3" customWidth="1"/>
    <col min="6343" max="6343" width="5" style="3" customWidth="1"/>
    <col min="6344" max="6344" width="13.85546875" style="3" customWidth="1"/>
    <col min="6345" max="6345" width="6" style="3" customWidth="1"/>
    <col min="6346" max="6346" width="2.85546875" style="3" customWidth="1"/>
    <col min="6347" max="6347" width="5.140625" style="3" customWidth="1"/>
    <col min="6348" max="6348" width="8.7109375" style="3" customWidth="1"/>
    <col min="6349" max="6349" width="4.28515625" style="3" customWidth="1"/>
    <col min="6350" max="6350" width="8.85546875" style="3" customWidth="1"/>
    <col min="6351" max="6351" width="6.5703125" style="3" customWidth="1"/>
    <col min="6352" max="6352" width="9" style="3" customWidth="1"/>
    <col min="6353" max="6353" width="17.5703125" style="3" customWidth="1"/>
    <col min="6354" max="6354" width="22.85546875" style="3" customWidth="1"/>
    <col min="6355" max="6355" width="27.42578125" style="3" customWidth="1"/>
    <col min="6356" max="6356" width="8.5703125" style="3" customWidth="1"/>
    <col min="6357" max="6358" width="8.42578125" style="3" customWidth="1"/>
    <col min="6359" max="6359" width="8.7109375" style="3" customWidth="1"/>
    <col min="6360" max="6360" width="8.42578125" style="3" customWidth="1"/>
    <col min="6361" max="6361" width="4.5703125" style="3" customWidth="1"/>
    <col min="6362" max="6362" width="5" style="3" customWidth="1"/>
    <col min="6363" max="6363" width="7" style="3" customWidth="1"/>
    <col min="6364" max="6364" width="5.5703125" style="3" customWidth="1"/>
    <col min="6365" max="6365" width="8.42578125" style="3" customWidth="1"/>
    <col min="6366" max="6367" width="5.140625" style="3" customWidth="1"/>
    <col min="6368" max="6368" width="6.5703125" style="3" customWidth="1"/>
    <col min="6369" max="6369" width="5" style="3" customWidth="1"/>
    <col min="6370" max="6370" width="4.5703125" style="3" customWidth="1"/>
    <col min="6371" max="6371" width="5.7109375" style="3" customWidth="1"/>
    <col min="6372" max="6372" width="4.85546875" style="3" customWidth="1"/>
    <col min="6373" max="6373" width="4" style="3" customWidth="1"/>
    <col min="6374" max="6374" width="4.7109375" style="3" customWidth="1"/>
    <col min="6375" max="6388" width="5.140625" style="3" customWidth="1"/>
    <col min="6389" max="6391" width="9.42578125" style="3" customWidth="1"/>
    <col min="6392" max="6392" width="5.5703125" style="3" customWidth="1"/>
    <col min="6393" max="6393" width="5.85546875" style="3" customWidth="1"/>
    <col min="6394" max="6394" width="10" style="3" customWidth="1"/>
    <col min="6395" max="6596" width="9.140625" style="3"/>
    <col min="6597" max="6597" width="3.85546875" style="3" customWidth="1"/>
    <col min="6598" max="6598" width="5.28515625" style="3" customWidth="1"/>
    <col min="6599" max="6599" width="5" style="3" customWidth="1"/>
    <col min="6600" max="6600" width="13.85546875" style="3" customWidth="1"/>
    <col min="6601" max="6601" width="6" style="3" customWidth="1"/>
    <col min="6602" max="6602" width="2.85546875" style="3" customWidth="1"/>
    <col min="6603" max="6603" width="5.140625" style="3" customWidth="1"/>
    <col min="6604" max="6604" width="8.7109375" style="3" customWidth="1"/>
    <col min="6605" max="6605" width="4.28515625" style="3" customWidth="1"/>
    <col min="6606" max="6606" width="8.85546875" style="3" customWidth="1"/>
    <col min="6607" max="6607" width="6.5703125" style="3" customWidth="1"/>
    <col min="6608" max="6608" width="9" style="3" customWidth="1"/>
    <col min="6609" max="6609" width="17.5703125" style="3" customWidth="1"/>
    <col min="6610" max="6610" width="22.85546875" style="3" customWidth="1"/>
    <col min="6611" max="6611" width="27.42578125" style="3" customWidth="1"/>
    <col min="6612" max="6612" width="8.5703125" style="3" customWidth="1"/>
    <col min="6613" max="6614" width="8.42578125" style="3" customWidth="1"/>
    <col min="6615" max="6615" width="8.7109375" style="3" customWidth="1"/>
    <col min="6616" max="6616" width="8.42578125" style="3" customWidth="1"/>
    <col min="6617" max="6617" width="4.5703125" style="3" customWidth="1"/>
    <col min="6618" max="6618" width="5" style="3" customWidth="1"/>
    <col min="6619" max="6619" width="7" style="3" customWidth="1"/>
    <col min="6620" max="6620" width="5.5703125" style="3" customWidth="1"/>
    <col min="6621" max="6621" width="8.42578125" style="3" customWidth="1"/>
    <col min="6622" max="6623" width="5.140625" style="3" customWidth="1"/>
    <col min="6624" max="6624" width="6.5703125" style="3" customWidth="1"/>
    <col min="6625" max="6625" width="5" style="3" customWidth="1"/>
    <col min="6626" max="6626" width="4.5703125" style="3" customWidth="1"/>
    <col min="6627" max="6627" width="5.7109375" style="3" customWidth="1"/>
    <col min="6628" max="6628" width="4.85546875" style="3" customWidth="1"/>
    <col min="6629" max="6629" width="4" style="3" customWidth="1"/>
    <col min="6630" max="6630" width="4.7109375" style="3" customWidth="1"/>
    <col min="6631" max="6644" width="5.140625" style="3" customWidth="1"/>
    <col min="6645" max="6647" width="9.42578125" style="3" customWidth="1"/>
    <col min="6648" max="6648" width="5.5703125" style="3" customWidth="1"/>
    <col min="6649" max="6649" width="5.85546875" style="3" customWidth="1"/>
    <col min="6650" max="6650" width="10" style="3" customWidth="1"/>
    <col min="6651" max="6852" width="9.140625" style="3"/>
    <col min="6853" max="6853" width="3.85546875" style="3" customWidth="1"/>
    <col min="6854" max="6854" width="5.28515625" style="3" customWidth="1"/>
    <col min="6855" max="6855" width="5" style="3" customWidth="1"/>
    <col min="6856" max="6856" width="13.85546875" style="3" customWidth="1"/>
    <col min="6857" max="6857" width="6" style="3" customWidth="1"/>
    <col min="6858" max="6858" width="2.85546875" style="3" customWidth="1"/>
    <col min="6859" max="6859" width="5.140625" style="3" customWidth="1"/>
    <col min="6860" max="6860" width="8.7109375" style="3" customWidth="1"/>
    <col min="6861" max="6861" width="4.28515625" style="3" customWidth="1"/>
    <col min="6862" max="6862" width="8.85546875" style="3" customWidth="1"/>
    <col min="6863" max="6863" width="6.5703125" style="3" customWidth="1"/>
    <col min="6864" max="6864" width="9" style="3" customWidth="1"/>
    <col min="6865" max="6865" width="17.5703125" style="3" customWidth="1"/>
    <col min="6866" max="6866" width="22.85546875" style="3" customWidth="1"/>
    <col min="6867" max="6867" width="27.42578125" style="3" customWidth="1"/>
    <col min="6868" max="6868" width="8.5703125" style="3" customWidth="1"/>
    <col min="6869" max="6870" width="8.42578125" style="3" customWidth="1"/>
    <col min="6871" max="6871" width="8.7109375" style="3" customWidth="1"/>
    <col min="6872" max="6872" width="8.42578125" style="3" customWidth="1"/>
    <col min="6873" max="6873" width="4.5703125" style="3" customWidth="1"/>
    <col min="6874" max="6874" width="5" style="3" customWidth="1"/>
    <col min="6875" max="6875" width="7" style="3" customWidth="1"/>
    <col min="6876" max="6876" width="5.5703125" style="3" customWidth="1"/>
    <col min="6877" max="6877" width="8.42578125" style="3" customWidth="1"/>
    <col min="6878" max="6879" width="5.140625" style="3" customWidth="1"/>
    <col min="6880" max="6880" width="6.5703125" style="3" customWidth="1"/>
    <col min="6881" max="6881" width="5" style="3" customWidth="1"/>
    <col min="6882" max="6882" width="4.5703125" style="3" customWidth="1"/>
    <col min="6883" max="6883" width="5.7109375" style="3" customWidth="1"/>
    <col min="6884" max="6884" width="4.85546875" style="3" customWidth="1"/>
    <col min="6885" max="6885" width="4" style="3" customWidth="1"/>
    <col min="6886" max="6886" width="4.7109375" style="3" customWidth="1"/>
    <col min="6887" max="6900" width="5.140625" style="3" customWidth="1"/>
    <col min="6901" max="6903" width="9.42578125" style="3" customWidth="1"/>
    <col min="6904" max="6904" width="5.5703125" style="3" customWidth="1"/>
    <col min="6905" max="6905" width="5.85546875" style="3" customWidth="1"/>
    <col min="6906" max="6906" width="10" style="3" customWidth="1"/>
    <col min="6907" max="7108" width="9.140625" style="3"/>
    <col min="7109" max="7109" width="3.85546875" style="3" customWidth="1"/>
    <col min="7110" max="7110" width="5.28515625" style="3" customWidth="1"/>
    <col min="7111" max="7111" width="5" style="3" customWidth="1"/>
    <col min="7112" max="7112" width="13.85546875" style="3" customWidth="1"/>
    <col min="7113" max="7113" width="6" style="3" customWidth="1"/>
    <col min="7114" max="7114" width="2.85546875" style="3" customWidth="1"/>
    <col min="7115" max="7115" width="5.140625" style="3" customWidth="1"/>
    <col min="7116" max="7116" width="8.7109375" style="3" customWidth="1"/>
    <col min="7117" max="7117" width="4.28515625" style="3" customWidth="1"/>
    <col min="7118" max="7118" width="8.85546875" style="3" customWidth="1"/>
    <col min="7119" max="7119" width="6.5703125" style="3" customWidth="1"/>
    <col min="7120" max="7120" width="9" style="3" customWidth="1"/>
    <col min="7121" max="7121" width="17.5703125" style="3" customWidth="1"/>
    <col min="7122" max="7122" width="22.85546875" style="3" customWidth="1"/>
    <col min="7123" max="7123" width="27.42578125" style="3" customWidth="1"/>
    <col min="7124" max="7124" width="8.5703125" style="3" customWidth="1"/>
    <col min="7125" max="7126" width="8.42578125" style="3" customWidth="1"/>
    <col min="7127" max="7127" width="8.7109375" style="3" customWidth="1"/>
    <col min="7128" max="7128" width="8.42578125" style="3" customWidth="1"/>
    <col min="7129" max="7129" width="4.5703125" style="3" customWidth="1"/>
    <col min="7130" max="7130" width="5" style="3" customWidth="1"/>
    <col min="7131" max="7131" width="7" style="3" customWidth="1"/>
    <col min="7132" max="7132" width="5.5703125" style="3" customWidth="1"/>
    <col min="7133" max="7133" width="8.42578125" style="3" customWidth="1"/>
    <col min="7134" max="7135" width="5.140625" style="3" customWidth="1"/>
    <col min="7136" max="7136" width="6.5703125" style="3" customWidth="1"/>
    <col min="7137" max="7137" width="5" style="3" customWidth="1"/>
    <col min="7138" max="7138" width="4.5703125" style="3" customWidth="1"/>
    <col min="7139" max="7139" width="5.7109375" style="3" customWidth="1"/>
    <col min="7140" max="7140" width="4.85546875" style="3" customWidth="1"/>
    <col min="7141" max="7141" width="4" style="3" customWidth="1"/>
    <col min="7142" max="7142" width="4.7109375" style="3" customWidth="1"/>
    <col min="7143" max="7156" width="5.140625" style="3" customWidth="1"/>
    <col min="7157" max="7159" width="9.42578125" style="3" customWidth="1"/>
    <col min="7160" max="7160" width="5.5703125" style="3" customWidth="1"/>
    <col min="7161" max="7161" width="5.85546875" style="3" customWidth="1"/>
    <col min="7162" max="7162" width="10" style="3" customWidth="1"/>
    <col min="7163" max="7364" width="9.140625" style="3"/>
    <col min="7365" max="7365" width="3.85546875" style="3" customWidth="1"/>
    <col min="7366" max="7366" width="5.28515625" style="3" customWidth="1"/>
    <col min="7367" max="7367" width="5" style="3" customWidth="1"/>
    <col min="7368" max="7368" width="13.85546875" style="3" customWidth="1"/>
    <col min="7369" max="7369" width="6" style="3" customWidth="1"/>
    <col min="7370" max="7370" width="2.85546875" style="3" customWidth="1"/>
    <col min="7371" max="7371" width="5.140625" style="3" customWidth="1"/>
    <col min="7372" max="7372" width="8.7109375" style="3" customWidth="1"/>
    <col min="7373" max="7373" width="4.28515625" style="3" customWidth="1"/>
    <col min="7374" max="7374" width="8.85546875" style="3" customWidth="1"/>
    <col min="7375" max="7375" width="6.5703125" style="3" customWidth="1"/>
    <col min="7376" max="7376" width="9" style="3" customWidth="1"/>
    <col min="7377" max="7377" width="17.5703125" style="3" customWidth="1"/>
    <col min="7378" max="7378" width="22.85546875" style="3" customWidth="1"/>
    <col min="7379" max="7379" width="27.42578125" style="3" customWidth="1"/>
    <col min="7380" max="7380" width="8.5703125" style="3" customWidth="1"/>
    <col min="7381" max="7382" width="8.42578125" style="3" customWidth="1"/>
    <col min="7383" max="7383" width="8.7109375" style="3" customWidth="1"/>
    <col min="7384" max="7384" width="8.42578125" style="3" customWidth="1"/>
    <col min="7385" max="7385" width="4.5703125" style="3" customWidth="1"/>
    <col min="7386" max="7386" width="5" style="3" customWidth="1"/>
    <col min="7387" max="7387" width="7" style="3" customWidth="1"/>
    <col min="7388" max="7388" width="5.5703125" style="3" customWidth="1"/>
    <col min="7389" max="7389" width="8.42578125" style="3" customWidth="1"/>
    <col min="7390" max="7391" width="5.140625" style="3" customWidth="1"/>
    <col min="7392" max="7392" width="6.5703125" style="3" customWidth="1"/>
    <col min="7393" max="7393" width="5" style="3" customWidth="1"/>
    <col min="7394" max="7394" width="4.5703125" style="3" customWidth="1"/>
    <col min="7395" max="7395" width="5.7109375" style="3" customWidth="1"/>
    <col min="7396" max="7396" width="4.85546875" style="3" customWidth="1"/>
    <col min="7397" max="7397" width="4" style="3" customWidth="1"/>
    <col min="7398" max="7398" width="4.7109375" style="3" customWidth="1"/>
    <col min="7399" max="7412" width="5.140625" style="3" customWidth="1"/>
    <col min="7413" max="7415" width="9.42578125" style="3" customWidth="1"/>
    <col min="7416" max="7416" width="5.5703125" style="3" customWidth="1"/>
    <col min="7417" max="7417" width="5.85546875" style="3" customWidth="1"/>
    <col min="7418" max="7418" width="10" style="3" customWidth="1"/>
    <col min="7419" max="7620" width="9.140625" style="3"/>
    <col min="7621" max="7621" width="3.85546875" style="3" customWidth="1"/>
    <col min="7622" max="7622" width="5.28515625" style="3" customWidth="1"/>
    <col min="7623" max="7623" width="5" style="3" customWidth="1"/>
    <col min="7624" max="7624" width="13.85546875" style="3" customWidth="1"/>
    <col min="7625" max="7625" width="6" style="3" customWidth="1"/>
    <col min="7626" max="7626" width="2.85546875" style="3" customWidth="1"/>
    <col min="7627" max="7627" width="5.140625" style="3" customWidth="1"/>
    <col min="7628" max="7628" width="8.7109375" style="3" customWidth="1"/>
    <col min="7629" max="7629" width="4.28515625" style="3" customWidth="1"/>
    <col min="7630" max="7630" width="8.85546875" style="3" customWidth="1"/>
    <col min="7631" max="7631" width="6.5703125" style="3" customWidth="1"/>
    <col min="7632" max="7632" width="9" style="3" customWidth="1"/>
    <col min="7633" max="7633" width="17.5703125" style="3" customWidth="1"/>
    <col min="7634" max="7634" width="22.85546875" style="3" customWidth="1"/>
    <col min="7635" max="7635" width="27.42578125" style="3" customWidth="1"/>
    <col min="7636" max="7636" width="8.5703125" style="3" customWidth="1"/>
    <col min="7637" max="7638" width="8.42578125" style="3" customWidth="1"/>
    <col min="7639" max="7639" width="8.7109375" style="3" customWidth="1"/>
    <col min="7640" max="7640" width="8.42578125" style="3" customWidth="1"/>
    <col min="7641" max="7641" width="4.5703125" style="3" customWidth="1"/>
    <col min="7642" max="7642" width="5" style="3" customWidth="1"/>
    <col min="7643" max="7643" width="7" style="3" customWidth="1"/>
    <col min="7644" max="7644" width="5.5703125" style="3" customWidth="1"/>
    <col min="7645" max="7645" width="8.42578125" style="3" customWidth="1"/>
    <col min="7646" max="7647" width="5.140625" style="3" customWidth="1"/>
    <col min="7648" max="7648" width="6.5703125" style="3" customWidth="1"/>
    <col min="7649" max="7649" width="5" style="3" customWidth="1"/>
    <col min="7650" max="7650" width="4.5703125" style="3" customWidth="1"/>
    <col min="7651" max="7651" width="5.7109375" style="3" customWidth="1"/>
    <col min="7652" max="7652" width="4.85546875" style="3" customWidth="1"/>
    <col min="7653" max="7653" width="4" style="3" customWidth="1"/>
    <col min="7654" max="7654" width="4.7109375" style="3" customWidth="1"/>
    <col min="7655" max="7668" width="5.140625" style="3" customWidth="1"/>
    <col min="7669" max="7671" width="9.42578125" style="3" customWidth="1"/>
    <col min="7672" max="7672" width="5.5703125" style="3" customWidth="1"/>
    <col min="7673" max="7673" width="5.85546875" style="3" customWidth="1"/>
    <col min="7674" max="7674" width="10" style="3" customWidth="1"/>
    <col min="7675" max="7876" width="9.140625" style="3"/>
    <col min="7877" max="7877" width="3.85546875" style="3" customWidth="1"/>
    <col min="7878" max="7878" width="5.28515625" style="3" customWidth="1"/>
    <col min="7879" max="7879" width="5" style="3" customWidth="1"/>
    <col min="7880" max="7880" width="13.85546875" style="3" customWidth="1"/>
    <col min="7881" max="7881" width="6" style="3" customWidth="1"/>
    <col min="7882" max="7882" width="2.85546875" style="3" customWidth="1"/>
    <col min="7883" max="7883" width="5.140625" style="3" customWidth="1"/>
    <col min="7884" max="7884" width="8.7109375" style="3" customWidth="1"/>
    <col min="7885" max="7885" width="4.28515625" style="3" customWidth="1"/>
    <col min="7886" max="7886" width="8.85546875" style="3" customWidth="1"/>
    <col min="7887" max="7887" width="6.5703125" style="3" customWidth="1"/>
    <col min="7888" max="7888" width="9" style="3" customWidth="1"/>
    <col min="7889" max="7889" width="17.5703125" style="3" customWidth="1"/>
    <col min="7890" max="7890" width="22.85546875" style="3" customWidth="1"/>
    <col min="7891" max="7891" width="27.42578125" style="3" customWidth="1"/>
    <col min="7892" max="7892" width="8.5703125" style="3" customWidth="1"/>
    <col min="7893" max="7894" width="8.42578125" style="3" customWidth="1"/>
    <col min="7895" max="7895" width="8.7109375" style="3" customWidth="1"/>
    <col min="7896" max="7896" width="8.42578125" style="3" customWidth="1"/>
    <col min="7897" max="7897" width="4.5703125" style="3" customWidth="1"/>
    <col min="7898" max="7898" width="5" style="3" customWidth="1"/>
    <col min="7899" max="7899" width="7" style="3" customWidth="1"/>
    <col min="7900" max="7900" width="5.5703125" style="3" customWidth="1"/>
    <col min="7901" max="7901" width="8.42578125" style="3" customWidth="1"/>
    <col min="7902" max="7903" width="5.140625" style="3" customWidth="1"/>
    <col min="7904" max="7904" width="6.5703125" style="3" customWidth="1"/>
    <col min="7905" max="7905" width="5" style="3" customWidth="1"/>
    <col min="7906" max="7906" width="4.5703125" style="3" customWidth="1"/>
    <col min="7907" max="7907" width="5.7109375" style="3" customWidth="1"/>
    <col min="7908" max="7908" width="4.85546875" style="3" customWidth="1"/>
    <col min="7909" max="7909" width="4" style="3" customWidth="1"/>
    <col min="7910" max="7910" width="4.7109375" style="3" customWidth="1"/>
    <col min="7911" max="7924" width="5.140625" style="3" customWidth="1"/>
    <col min="7925" max="7927" width="9.42578125" style="3" customWidth="1"/>
    <col min="7928" max="7928" width="5.5703125" style="3" customWidth="1"/>
    <col min="7929" max="7929" width="5.85546875" style="3" customWidth="1"/>
    <col min="7930" max="7930" width="10" style="3" customWidth="1"/>
    <col min="7931" max="8132" width="9.140625" style="3"/>
    <col min="8133" max="8133" width="3.85546875" style="3" customWidth="1"/>
    <col min="8134" max="8134" width="5.28515625" style="3" customWidth="1"/>
    <col min="8135" max="8135" width="5" style="3" customWidth="1"/>
    <col min="8136" max="8136" width="13.85546875" style="3" customWidth="1"/>
    <col min="8137" max="8137" width="6" style="3" customWidth="1"/>
    <col min="8138" max="8138" width="2.85546875" style="3" customWidth="1"/>
    <col min="8139" max="8139" width="5.140625" style="3" customWidth="1"/>
    <col min="8140" max="8140" width="8.7109375" style="3" customWidth="1"/>
    <col min="8141" max="8141" width="4.28515625" style="3" customWidth="1"/>
    <col min="8142" max="8142" width="8.85546875" style="3" customWidth="1"/>
    <col min="8143" max="8143" width="6.5703125" style="3" customWidth="1"/>
    <col min="8144" max="8144" width="9" style="3" customWidth="1"/>
    <col min="8145" max="8145" width="17.5703125" style="3" customWidth="1"/>
    <col min="8146" max="8146" width="22.85546875" style="3" customWidth="1"/>
    <col min="8147" max="8147" width="27.42578125" style="3" customWidth="1"/>
    <col min="8148" max="8148" width="8.5703125" style="3" customWidth="1"/>
    <col min="8149" max="8150" width="8.42578125" style="3" customWidth="1"/>
    <col min="8151" max="8151" width="8.7109375" style="3" customWidth="1"/>
    <col min="8152" max="8152" width="8.42578125" style="3" customWidth="1"/>
    <col min="8153" max="8153" width="4.5703125" style="3" customWidth="1"/>
    <col min="8154" max="8154" width="5" style="3" customWidth="1"/>
    <col min="8155" max="8155" width="7" style="3" customWidth="1"/>
    <col min="8156" max="8156" width="5.5703125" style="3" customWidth="1"/>
    <col min="8157" max="8157" width="8.42578125" style="3" customWidth="1"/>
    <col min="8158" max="8159" width="5.140625" style="3" customWidth="1"/>
    <col min="8160" max="8160" width="6.5703125" style="3" customWidth="1"/>
    <col min="8161" max="8161" width="5" style="3" customWidth="1"/>
    <col min="8162" max="8162" width="4.5703125" style="3" customWidth="1"/>
    <col min="8163" max="8163" width="5.7109375" style="3" customWidth="1"/>
    <col min="8164" max="8164" width="4.85546875" style="3" customWidth="1"/>
    <col min="8165" max="8165" width="4" style="3" customWidth="1"/>
    <col min="8166" max="8166" width="4.7109375" style="3" customWidth="1"/>
    <col min="8167" max="8180" width="5.140625" style="3" customWidth="1"/>
    <col min="8181" max="8183" width="9.42578125" style="3" customWidth="1"/>
    <col min="8184" max="8184" width="5.5703125" style="3" customWidth="1"/>
    <col min="8185" max="8185" width="5.85546875" style="3" customWidth="1"/>
    <col min="8186" max="8186" width="10" style="3" customWidth="1"/>
    <col min="8187" max="8388" width="9.140625" style="3"/>
    <col min="8389" max="8389" width="3.85546875" style="3" customWidth="1"/>
    <col min="8390" max="8390" width="5.28515625" style="3" customWidth="1"/>
    <col min="8391" max="8391" width="5" style="3" customWidth="1"/>
    <col min="8392" max="8392" width="13.85546875" style="3" customWidth="1"/>
    <col min="8393" max="8393" width="6" style="3" customWidth="1"/>
    <col min="8394" max="8394" width="2.85546875" style="3" customWidth="1"/>
    <col min="8395" max="8395" width="5.140625" style="3" customWidth="1"/>
    <col min="8396" max="8396" width="8.7109375" style="3" customWidth="1"/>
    <col min="8397" max="8397" width="4.28515625" style="3" customWidth="1"/>
    <col min="8398" max="8398" width="8.85546875" style="3" customWidth="1"/>
    <col min="8399" max="8399" width="6.5703125" style="3" customWidth="1"/>
    <col min="8400" max="8400" width="9" style="3" customWidth="1"/>
    <col min="8401" max="8401" width="17.5703125" style="3" customWidth="1"/>
    <col min="8402" max="8402" width="22.85546875" style="3" customWidth="1"/>
    <col min="8403" max="8403" width="27.42578125" style="3" customWidth="1"/>
    <col min="8404" max="8404" width="8.5703125" style="3" customWidth="1"/>
    <col min="8405" max="8406" width="8.42578125" style="3" customWidth="1"/>
    <col min="8407" max="8407" width="8.7109375" style="3" customWidth="1"/>
    <col min="8408" max="8408" width="8.42578125" style="3" customWidth="1"/>
    <col min="8409" max="8409" width="4.5703125" style="3" customWidth="1"/>
    <col min="8410" max="8410" width="5" style="3" customWidth="1"/>
    <col min="8411" max="8411" width="7" style="3" customWidth="1"/>
    <col min="8412" max="8412" width="5.5703125" style="3" customWidth="1"/>
    <col min="8413" max="8413" width="8.42578125" style="3" customWidth="1"/>
    <col min="8414" max="8415" width="5.140625" style="3" customWidth="1"/>
    <col min="8416" max="8416" width="6.5703125" style="3" customWidth="1"/>
    <col min="8417" max="8417" width="5" style="3" customWidth="1"/>
    <col min="8418" max="8418" width="4.5703125" style="3" customWidth="1"/>
    <col min="8419" max="8419" width="5.7109375" style="3" customWidth="1"/>
    <col min="8420" max="8420" width="4.85546875" style="3" customWidth="1"/>
    <col min="8421" max="8421" width="4" style="3" customWidth="1"/>
    <col min="8422" max="8422" width="4.7109375" style="3" customWidth="1"/>
    <col min="8423" max="8436" width="5.140625" style="3" customWidth="1"/>
    <col min="8437" max="8439" width="9.42578125" style="3" customWidth="1"/>
    <col min="8440" max="8440" width="5.5703125" style="3" customWidth="1"/>
    <col min="8441" max="8441" width="5.85546875" style="3" customWidth="1"/>
    <col min="8442" max="8442" width="10" style="3" customWidth="1"/>
    <col min="8443" max="8644" width="9.140625" style="3"/>
    <col min="8645" max="8645" width="3.85546875" style="3" customWidth="1"/>
    <col min="8646" max="8646" width="5.28515625" style="3" customWidth="1"/>
    <col min="8647" max="8647" width="5" style="3" customWidth="1"/>
    <col min="8648" max="8648" width="13.85546875" style="3" customWidth="1"/>
    <col min="8649" max="8649" width="6" style="3" customWidth="1"/>
    <col min="8650" max="8650" width="2.85546875" style="3" customWidth="1"/>
    <col min="8651" max="8651" width="5.140625" style="3" customWidth="1"/>
    <col min="8652" max="8652" width="8.7109375" style="3" customWidth="1"/>
    <col min="8653" max="8653" width="4.28515625" style="3" customWidth="1"/>
    <col min="8654" max="8654" width="8.85546875" style="3" customWidth="1"/>
    <col min="8655" max="8655" width="6.5703125" style="3" customWidth="1"/>
    <col min="8656" max="8656" width="9" style="3" customWidth="1"/>
    <col min="8657" max="8657" width="17.5703125" style="3" customWidth="1"/>
    <col min="8658" max="8658" width="22.85546875" style="3" customWidth="1"/>
    <col min="8659" max="8659" width="27.42578125" style="3" customWidth="1"/>
    <col min="8660" max="8660" width="8.5703125" style="3" customWidth="1"/>
    <col min="8661" max="8662" width="8.42578125" style="3" customWidth="1"/>
    <col min="8663" max="8663" width="8.7109375" style="3" customWidth="1"/>
    <col min="8664" max="8664" width="8.42578125" style="3" customWidth="1"/>
    <col min="8665" max="8665" width="4.5703125" style="3" customWidth="1"/>
    <col min="8666" max="8666" width="5" style="3" customWidth="1"/>
    <col min="8667" max="8667" width="7" style="3" customWidth="1"/>
    <col min="8668" max="8668" width="5.5703125" style="3" customWidth="1"/>
    <col min="8669" max="8669" width="8.42578125" style="3" customWidth="1"/>
    <col min="8670" max="8671" width="5.140625" style="3" customWidth="1"/>
    <col min="8672" max="8672" width="6.5703125" style="3" customWidth="1"/>
    <col min="8673" max="8673" width="5" style="3" customWidth="1"/>
    <col min="8674" max="8674" width="4.5703125" style="3" customWidth="1"/>
    <col min="8675" max="8675" width="5.7109375" style="3" customWidth="1"/>
    <col min="8676" max="8676" width="4.85546875" style="3" customWidth="1"/>
    <col min="8677" max="8677" width="4" style="3" customWidth="1"/>
    <col min="8678" max="8678" width="4.7109375" style="3" customWidth="1"/>
    <col min="8679" max="8692" width="5.140625" style="3" customWidth="1"/>
    <col min="8693" max="8695" width="9.42578125" style="3" customWidth="1"/>
    <col min="8696" max="8696" width="5.5703125" style="3" customWidth="1"/>
    <col min="8697" max="8697" width="5.85546875" style="3" customWidth="1"/>
    <col min="8698" max="8698" width="10" style="3" customWidth="1"/>
    <col min="8699" max="8900" width="9.140625" style="3"/>
    <col min="8901" max="8901" width="3.85546875" style="3" customWidth="1"/>
    <col min="8902" max="8902" width="5.28515625" style="3" customWidth="1"/>
    <col min="8903" max="8903" width="5" style="3" customWidth="1"/>
    <col min="8904" max="8904" width="13.85546875" style="3" customWidth="1"/>
    <col min="8905" max="8905" width="6" style="3" customWidth="1"/>
    <col min="8906" max="8906" width="2.85546875" style="3" customWidth="1"/>
    <col min="8907" max="8907" width="5.140625" style="3" customWidth="1"/>
    <col min="8908" max="8908" width="8.7109375" style="3" customWidth="1"/>
    <col min="8909" max="8909" width="4.28515625" style="3" customWidth="1"/>
    <col min="8910" max="8910" width="8.85546875" style="3" customWidth="1"/>
    <col min="8911" max="8911" width="6.5703125" style="3" customWidth="1"/>
    <col min="8912" max="8912" width="9" style="3" customWidth="1"/>
    <col min="8913" max="8913" width="17.5703125" style="3" customWidth="1"/>
    <col min="8914" max="8914" width="22.85546875" style="3" customWidth="1"/>
    <col min="8915" max="8915" width="27.42578125" style="3" customWidth="1"/>
    <col min="8916" max="8916" width="8.5703125" style="3" customWidth="1"/>
    <col min="8917" max="8918" width="8.42578125" style="3" customWidth="1"/>
    <col min="8919" max="8919" width="8.7109375" style="3" customWidth="1"/>
    <col min="8920" max="8920" width="8.42578125" style="3" customWidth="1"/>
    <col min="8921" max="8921" width="4.5703125" style="3" customWidth="1"/>
    <col min="8922" max="8922" width="5" style="3" customWidth="1"/>
    <col min="8923" max="8923" width="7" style="3" customWidth="1"/>
    <col min="8924" max="8924" width="5.5703125" style="3" customWidth="1"/>
    <col min="8925" max="8925" width="8.42578125" style="3" customWidth="1"/>
    <col min="8926" max="8927" width="5.140625" style="3" customWidth="1"/>
    <col min="8928" max="8928" width="6.5703125" style="3" customWidth="1"/>
    <col min="8929" max="8929" width="5" style="3" customWidth="1"/>
    <col min="8930" max="8930" width="4.5703125" style="3" customWidth="1"/>
    <col min="8931" max="8931" width="5.7109375" style="3" customWidth="1"/>
    <col min="8932" max="8932" width="4.85546875" style="3" customWidth="1"/>
    <col min="8933" max="8933" width="4" style="3" customWidth="1"/>
    <col min="8934" max="8934" width="4.7109375" style="3" customWidth="1"/>
    <col min="8935" max="8948" width="5.140625" style="3" customWidth="1"/>
    <col min="8949" max="8951" width="9.42578125" style="3" customWidth="1"/>
    <col min="8952" max="8952" width="5.5703125" style="3" customWidth="1"/>
    <col min="8953" max="8953" width="5.85546875" style="3" customWidth="1"/>
    <col min="8954" max="8954" width="10" style="3" customWidth="1"/>
    <col min="8955" max="9156" width="9.140625" style="3"/>
    <col min="9157" max="9157" width="3.85546875" style="3" customWidth="1"/>
    <col min="9158" max="9158" width="5.28515625" style="3" customWidth="1"/>
    <col min="9159" max="9159" width="5" style="3" customWidth="1"/>
    <col min="9160" max="9160" width="13.85546875" style="3" customWidth="1"/>
    <col min="9161" max="9161" width="6" style="3" customWidth="1"/>
    <col min="9162" max="9162" width="2.85546875" style="3" customWidth="1"/>
    <col min="9163" max="9163" width="5.140625" style="3" customWidth="1"/>
    <col min="9164" max="9164" width="8.7109375" style="3" customWidth="1"/>
    <col min="9165" max="9165" width="4.28515625" style="3" customWidth="1"/>
    <col min="9166" max="9166" width="8.85546875" style="3" customWidth="1"/>
    <col min="9167" max="9167" width="6.5703125" style="3" customWidth="1"/>
    <col min="9168" max="9168" width="9" style="3" customWidth="1"/>
    <col min="9169" max="9169" width="17.5703125" style="3" customWidth="1"/>
    <col min="9170" max="9170" width="22.85546875" style="3" customWidth="1"/>
    <col min="9171" max="9171" width="27.42578125" style="3" customWidth="1"/>
    <col min="9172" max="9172" width="8.5703125" style="3" customWidth="1"/>
    <col min="9173" max="9174" width="8.42578125" style="3" customWidth="1"/>
    <col min="9175" max="9175" width="8.7109375" style="3" customWidth="1"/>
    <col min="9176" max="9176" width="8.42578125" style="3" customWidth="1"/>
    <col min="9177" max="9177" width="4.5703125" style="3" customWidth="1"/>
    <col min="9178" max="9178" width="5" style="3" customWidth="1"/>
    <col min="9179" max="9179" width="7" style="3" customWidth="1"/>
    <col min="9180" max="9180" width="5.5703125" style="3" customWidth="1"/>
    <col min="9181" max="9181" width="8.42578125" style="3" customWidth="1"/>
    <col min="9182" max="9183" width="5.140625" style="3" customWidth="1"/>
    <col min="9184" max="9184" width="6.5703125" style="3" customWidth="1"/>
    <col min="9185" max="9185" width="5" style="3" customWidth="1"/>
    <col min="9186" max="9186" width="4.5703125" style="3" customWidth="1"/>
    <col min="9187" max="9187" width="5.7109375" style="3" customWidth="1"/>
    <col min="9188" max="9188" width="4.85546875" style="3" customWidth="1"/>
    <col min="9189" max="9189" width="4" style="3" customWidth="1"/>
    <col min="9190" max="9190" width="4.7109375" style="3" customWidth="1"/>
    <col min="9191" max="9204" width="5.140625" style="3" customWidth="1"/>
    <col min="9205" max="9207" width="9.42578125" style="3" customWidth="1"/>
    <col min="9208" max="9208" width="5.5703125" style="3" customWidth="1"/>
    <col min="9209" max="9209" width="5.85546875" style="3" customWidth="1"/>
    <col min="9210" max="9210" width="10" style="3" customWidth="1"/>
    <col min="9211" max="9412" width="9.140625" style="3"/>
    <col min="9413" max="9413" width="3.85546875" style="3" customWidth="1"/>
    <col min="9414" max="9414" width="5.28515625" style="3" customWidth="1"/>
    <col min="9415" max="9415" width="5" style="3" customWidth="1"/>
    <col min="9416" max="9416" width="13.85546875" style="3" customWidth="1"/>
    <col min="9417" max="9417" width="6" style="3" customWidth="1"/>
    <col min="9418" max="9418" width="2.85546875" style="3" customWidth="1"/>
    <col min="9419" max="9419" width="5.140625" style="3" customWidth="1"/>
    <col min="9420" max="9420" width="8.7109375" style="3" customWidth="1"/>
    <col min="9421" max="9421" width="4.28515625" style="3" customWidth="1"/>
    <col min="9422" max="9422" width="8.85546875" style="3" customWidth="1"/>
    <col min="9423" max="9423" width="6.5703125" style="3" customWidth="1"/>
    <col min="9424" max="9424" width="9" style="3" customWidth="1"/>
    <col min="9425" max="9425" width="17.5703125" style="3" customWidth="1"/>
    <col min="9426" max="9426" width="22.85546875" style="3" customWidth="1"/>
    <col min="9427" max="9427" width="27.42578125" style="3" customWidth="1"/>
    <col min="9428" max="9428" width="8.5703125" style="3" customWidth="1"/>
    <col min="9429" max="9430" width="8.42578125" style="3" customWidth="1"/>
    <col min="9431" max="9431" width="8.7109375" style="3" customWidth="1"/>
    <col min="9432" max="9432" width="8.42578125" style="3" customWidth="1"/>
    <col min="9433" max="9433" width="4.5703125" style="3" customWidth="1"/>
    <col min="9434" max="9434" width="5" style="3" customWidth="1"/>
    <col min="9435" max="9435" width="7" style="3" customWidth="1"/>
    <col min="9436" max="9436" width="5.5703125" style="3" customWidth="1"/>
    <col min="9437" max="9437" width="8.42578125" style="3" customWidth="1"/>
    <col min="9438" max="9439" width="5.140625" style="3" customWidth="1"/>
    <col min="9440" max="9440" width="6.5703125" style="3" customWidth="1"/>
    <col min="9441" max="9441" width="5" style="3" customWidth="1"/>
    <col min="9442" max="9442" width="4.5703125" style="3" customWidth="1"/>
    <col min="9443" max="9443" width="5.7109375" style="3" customWidth="1"/>
    <col min="9444" max="9444" width="4.85546875" style="3" customWidth="1"/>
    <col min="9445" max="9445" width="4" style="3" customWidth="1"/>
    <col min="9446" max="9446" width="4.7109375" style="3" customWidth="1"/>
    <col min="9447" max="9460" width="5.140625" style="3" customWidth="1"/>
    <col min="9461" max="9463" width="9.42578125" style="3" customWidth="1"/>
    <col min="9464" max="9464" width="5.5703125" style="3" customWidth="1"/>
    <col min="9465" max="9465" width="5.85546875" style="3" customWidth="1"/>
    <col min="9466" max="9466" width="10" style="3" customWidth="1"/>
    <col min="9467" max="9668" width="9.140625" style="3"/>
    <col min="9669" max="9669" width="3.85546875" style="3" customWidth="1"/>
    <col min="9670" max="9670" width="5.28515625" style="3" customWidth="1"/>
    <col min="9671" max="9671" width="5" style="3" customWidth="1"/>
    <col min="9672" max="9672" width="13.85546875" style="3" customWidth="1"/>
    <col min="9673" max="9673" width="6" style="3" customWidth="1"/>
    <col min="9674" max="9674" width="2.85546875" style="3" customWidth="1"/>
    <col min="9675" max="9675" width="5.140625" style="3" customWidth="1"/>
    <col min="9676" max="9676" width="8.7109375" style="3" customWidth="1"/>
    <col min="9677" max="9677" width="4.28515625" style="3" customWidth="1"/>
    <col min="9678" max="9678" width="8.85546875" style="3" customWidth="1"/>
    <col min="9679" max="9679" width="6.5703125" style="3" customWidth="1"/>
    <col min="9680" max="9680" width="9" style="3" customWidth="1"/>
    <col min="9681" max="9681" width="17.5703125" style="3" customWidth="1"/>
    <col min="9682" max="9682" width="22.85546875" style="3" customWidth="1"/>
    <col min="9683" max="9683" width="27.42578125" style="3" customWidth="1"/>
    <col min="9684" max="9684" width="8.5703125" style="3" customWidth="1"/>
    <col min="9685" max="9686" width="8.42578125" style="3" customWidth="1"/>
    <col min="9687" max="9687" width="8.7109375" style="3" customWidth="1"/>
    <col min="9688" max="9688" width="8.42578125" style="3" customWidth="1"/>
    <col min="9689" max="9689" width="4.5703125" style="3" customWidth="1"/>
    <col min="9690" max="9690" width="5" style="3" customWidth="1"/>
    <col min="9691" max="9691" width="7" style="3" customWidth="1"/>
    <col min="9692" max="9692" width="5.5703125" style="3" customWidth="1"/>
    <col min="9693" max="9693" width="8.42578125" style="3" customWidth="1"/>
    <col min="9694" max="9695" width="5.140625" style="3" customWidth="1"/>
    <col min="9696" max="9696" width="6.5703125" style="3" customWidth="1"/>
    <col min="9697" max="9697" width="5" style="3" customWidth="1"/>
    <col min="9698" max="9698" width="4.5703125" style="3" customWidth="1"/>
    <col min="9699" max="9699" width="5.7109375" style="3" customWidth="1"/>
    <col min="9700" max="9700" width="4.85546875" style="3" customWidth="1"/>
    <col min="9701" max="9701" width="4" style="3" customWidth="1"/>
    <col min="9702" max="9702" width="4.7109375" style="3" customWidth="1"/>
    <col min="9703" max="9716" width="5.140625" style="3" customWidth="1"/>
    <col min="9717" max="9719" width="9.42578125" style="3" customWidth="1"/>
    <col min="9720" max="9720" width="5.5703125" style="3" customWidth="1"/>
    <col min="9721" max="9721" width="5.85546875" style="3" customWidth="1"/>
    <col min="9722" max="9722" width="10" style="3" customWidth="1"/>
    <col min="9723" max="9924" width="9.140625" style="3"/>
    <col min="9925" max="9925" width="3.85546875" style="3" customWidth="1"/>
    <col min="9926" max="9926" width="5.28515625" style="3" customWidth="1"/>
    <col min="9927" max="9927" width="5" style="3" customWidth="1"/>
    <col min="9928" max="9928" width="13.85546875" style="3" customWidth="1"/>
    <col min="9929" max="9929" width="6" style="3" customWidth="1"/>
    <col min="9930" max="9930" width="2.85546875" style="3" customWidth="1"/>
    <col min="9931" max="9931" width="5.140625" style="3" customWidth="1"/>
    <col min="9932" max="9932" width="8.7109375" style="3" customWidth="1"/>
    <col min="9933" max="9933" width="4.28515625" style="3" customWidth="1"/>
    <col min="9934" max="9934" width="8.85546875" style="3" customWidth="1"/>
    <col min="9935" max="9935" width="6.5703125" style="3" customWidth="1"/>
    <col min="9936" max="9936" width="9" style="3" customWidth="1"/>
    <col min="9937" max="9937" width="17.5703125" style="3" customWidth="1"/>
    <col min="9938" max="9938" width="22.85546875" style="3" customWidth="1"/>
    <col min="9939" max="9939" width="27.42578125" style="3" customWidth="1"/>
    <col min="9940" max="9940" width="8.5703125" style="3" customWidth="1"/>
    <col min="9941" max="9942" width="8.42578125" style="3" customWidth="1"/>
    <col min="9943" max="9943" width="8.7109375" style="3" customWidth="1"/>
    <col min="9944" max="9944" width="8.42578125" style="3" customWidth="1"/>
    <col min="9945" max="9945" width="4.5703125" style="3" customWidth="1"/>
    <col min="9946" max="9946" width="5" style="3" customWidth="1"/>
    <col min="9947" max="9947" width="7" style="3" customWidth="1"/>
    <col min="9948" max="9948" width="5.5703125" style="3" customWidth="1"/>
    <col min="9949" max="9949" width="8.42578125" style="3" customWidth="1"/>
    <col min="9950" max="9951" width="5.140625" style="3" customWidth="1"/>
    <col min="9952" max="9952" width="6.5703125" style="3" customWidth="1"/>
    <col min="9953" max="9953" width="5" style="3" customWidth="1"/>
    <col min="9954" max="9954" width="4.5703125" style="3" customWidth="1"/>
    <col min="9955" max="9955" width="5.7109375" style="3" customWidth="1"/>
    <col min="9956" max="9956" width="4.85546875" style="3" customWidth="1"/>
    <col min="9957" max="9957" width="4" style="3" customWidth="1"/>
    <col min="9958" max="9958" width="4.7109375" style="3" customWidth="1"/>
    <col min="9959" max="9972" width="5.140625" style="3" customWidth="1"/>
    <col min="9973" max="9975" width="9.42578125" style="3" customWidth="1"/>
    <col min="9976" max="9976" width="5.5703125" style="3" customWidth="1"/>
    <col min="9977" max="9977" width="5.85546875" style="3" customWidth="1"/>
    <col min="9978" max="9978" width="10" style="3" customWidth="1"/>
    <col min="9979" max="10180" width="9.140625" style="3"/>
    <col min="10181" max="10181" width="3.85546875" style="3" customWidth="1"/>
    <col min="10182" max="10182" width="5.28515625" style="3" customWidth="1"/>
    <col min="10183" max="10183" width="5" style="3" customWidth="1"/>
    <col min="10184" max="10184" width="13.85546875" style="3" customWidth="1"/>
    <col min="10185" max="10185" width="6" style="3" customWidth="1"/>
    <col min="10186" max="10186" width="2.85546875" style="3" customWidth="1"/>
    <col min="10187" max="10187" width="5.140625" style="3" customWidth="1"/>
    <col min="10188" max="10188" width="8.7109375" style="3" customWidth="1"/>
    <col min="10189" max="10189" width="4.28515625" style="3" customWidth="1"/>
    <col min="10190" max="10190" width="8.85546875" style="3" customWidth="1"/>
    <col min="10191" max="10191" width="6.5703125" style="3" customWidth="1"/>
    <col min="10192" max="10192" width="9" style="3" customWidth="1"/>
    <col min="10193" max="10193" width="17.5703125" style="3" customWidth="1"/>
    <col min="10194" max="10194" width="22.85546875" style="3" customWidth="1"/>
    <col min="10195" max="10195" width="27.42578125" style="3" customWidth="1"/>
    <col min="10196" max="10196" width="8.5703125" style="3" customWidth="1"/>
    <col min="10197" max="10198" width="8.42578125" style="3" customWidth="1"/>
    <col min="10199" max="10199" width="8.7109375" style="3" customWidth="1"/>
    <col min="10200" max="10200" width="8.42578125" style="3" customWidth="1"/>
    <col min="10201" max="10201" width="4.5703125" style="3" customWidth="1"/>
    <col min="10202" max="10202" width="5" style="3" customWidth="1"/>
    <col min="10203" max="10203" width="7" style="3" customWidth="1"/>
    <col min="10204" max="10204" width="5.5703125" style="3" customWidth="1"/>
    <col min="10205" max="10205" width="8.42578125" style="3" customWidth="1"/>
    <col min="10206" max="10207" width="5.140625" style="3" customWidth="1"/>
    <col min="10208" max="10208" width="6.5703125" style="3" customWidth="1"/>
    <col min="10209" max="10209" width="5" style="3" customWidth="1"/>
    <col min="10210" max="10210" width="4.5703125" style="3" customWidth="1"/>
    <col min="10211" max="10211" width="5.7109375" style="3" customWidth="1"/>
    <col min="10212" max="10212" width="4.85546875" style="3" customWidth="1"/>
    <col min="10213" max="10213" width="4" style="3" customWidth="1"/>
    <col min="10214" max="10214" width="4.7109375" style="3" customWidth="1"/>
    <col min="10215" max="10228" width="5.140625" style="3" customWidth="1"/>
    <col min="10229" max="10231" width="9.42578125" style="3" customWidth="1"/>
    <col min="10232" max="10232" width="5.5703125" style="3" customWidth="1"/>
    <col min="10233" max="10233" width="5.85546875" style="3" customWidth="1"/>
    <col min="10234" max="10234" width="10" style="3" customWidth="1"/>
    <col min="10235" max="10436" width="9.140625" style="3"/>
    <col min="10437" max="10437" width="3.85546875" style="3" customWidth="1"/>
    <col min="10438" max="10438" width="5.28515625" style="3" customWidth="1"/>
    <col min="10439" max="10439" width="5" style="3" customWidth="1"/>
    <col min="10440" max="10440" width="13.85546875" style="3" customWidth="1"/>
    <col min="10441" max="10441" width="6" style="3" customWidth="1"/>
    <col min="10442" max="10442" width="2.85546875" style="3" customWidth="1"/>
    <col min="10443" max="10443" width="5.140625" style="3" customWidth="1"/>
    <col min="10444" max="10444" width="8.7109375" style="3" customWidth="1"/>
    <col min="10445" max="10445" width="4.28515625" style="3" customWidth="1"/>
    <col min="10446" max="10446" width="8.85546875" style="3" customWidth="1"/>
    <col min="10447" max="10447" width="6.5703125" style="3" customWidth="1"/>
    <col min="10448" max="10448" width="9" style="3" customWidth="1"/>
    <col min="10449" max="10449" width="17.5703125" style="3" customWidth="1"/>
    <col min="10450" max="10450" width="22.85546875" style="3" customWidth="1"/>
    <col min="10451" max="10451" width="27.42578125" style="3" customWidth="1"/>
    <col min="10452" max="10452" width="8.5703125" style="3" customWidth="1"/>
    <col min="10453" max="10454" width="8.42578125" style="3" customWidth="1"/>
    <col min="10455" max="10455" width="8.7109375" style="3" customWidth="1"/>
    <col min="10456" max="10456" width="8.42578125" style="3" customWidth="1"/>
    <col min="10457" max="10457" width="4.5703125" style="3" customWidth="1"/>
    <col min="10458" max="10458" width="5" style="3" customWidth="1"/>
    <col min="10459" max="10459" width="7" style="3" customWidth="1"/>
    <col min="10460" max="10460" width="5.5703125" style="3" customWidth="1"/>
    <col min="10461" max="10461" width="8.42578125" style="3" customWidth="1"/>
    <col min="10462" max="10463" width="5.140625" style="3" customWidth="1"/>
    <col min="10464" max="10464" width="6.5703125" style="3" customWidth="1"/>
    <col min="10465" max="10465" width="5" style="3" customWidth="1"/>
    <col min="10466" max="10466" width="4.5703125" style="3" customWidth="1"/>
    <col min="10467" max="10467" width="5.7109375" style="3" customWidth="1"/>
    <col min="10468" max="10468" width="4.85546875" style="3" customWidth="1"/>
    <col min="10469" max="10469" width="4" style="3" customWidth="1"/>
    <col min="10470" max="10470" width="4.7109375" style="3" customWidth="1"/>
    <col min="10471" max="10484" width="5.140625" style="3" customWidth="1"/>
    <col min="10485" max="10487" width="9.42578125" style="3" customWidth="1"/>
    <col min="10488" max="10488" width="5.5703125" style="3" customWidth="1"/>
    <col min="10489" max="10489" width="5.85546875" style="3" customWidth="1"/>
    <col min="10490" max="10490" width="10" style="3" customWidth="1"/>
    <col min="10491" max="10692" width="9.140625" style="3"/>
    <col min="10693" max="10693" width="3.85546875" style="3" customWidth="1"/>
    <col min="10694" max="10694" width="5.28515625" style="3" customWidth="1"/>
    <col min="10695" max="10695" width="5" style="3" customWidth="1"/>
    <col min="10696" max="10696" width="13.85546875" style="3" customWidth="1"/>
    <col min="10697" max="10697" width="6" style="3" customWidth="1"/>
    <col min="10698" max="10698" width="2.85546875" style="3" customWidth="1"/>
    <col min="10699" max="10699" width="5.140625" style="3" customWidth="1"/>
    <col min="10700" max="10700" width="8.7109375" style="3" customWidth="1"/>
    <col min="10701" max="10701" width="4.28515625" style="3" customWidth="1"/>
    <col min="10702" max="10702" width="8.85546875" style="3" customWidth="1"/>
    <col min="10703" max="10703" width="6.5703125" style="3" customWidth="1"/>
    <col min="10704" max="10704" width="9" style="3" customWidth="1"/>
    <col min="10705" max="10705" width="17.5703125" style="3" customWidth="1"/>
    <col min="10706" max="10706" width="22.85546875" style="3" customWidth="1"/>
    <col min="10707" max="10707" width="27.42578125" style="3" customWidth="1"/>
    <col min="10708" max="10708" width="8.5703125" style="3" customWidth="1"/>
    <col min="10709" max="10710" width="8.42578125" style="3" customWidth="1"/>
    <col min="10711" max="10711" width="8.7109375" style="3" customWidth="1"/>
    <col min="10712" max="10712" width="8.42578125" style="3" customWidth="1"/>
    <col min="10713" max="10713" width="4.5703125" style="3" customWidth="1"/>
    <col min="10714" max="10714" width="5" style="3" customWidth="1"/>
    <col min="10715" max="10715" width="7" style="3" customWidth="1"/>
    <col min="10716" max="10716" width="5.5703125" style="3" customWidth="1"/>
    <col min="10717" max="10717" width="8.42578125" style="3" customWidth="1"/>
    <col min="10718" max="10719" width="5.140625" style="3" customWidth="1"/>
    <col min="10720" max="10720" width="6.5703125" style="3" customWidth="1"/>
    <col min="10721" max="10721" width="5" style="3" customWidth="1"/>
    <col min="10722" max="10722" width="4.5703125" style="3" customWidth="1"/>
    <col min="10723" max="10723" width="5.7109375" style="3" customWidth="1"/>
    <col min="10724" max="10724" width="4.85546875" style="3" customWidth="1"/>
    <col min="10725" max="10725" width="4" style="3" customWidth="1"/>
    <col min="10726" max="10726" width="4.7109375" style="3" customWidth="1"/>
    <col min="10727" max="10740" width="5.140625" style="3" customWidth="1"/>
    <col min="10741" max="10743" width="9.42578125" style="3" customWidth="1"/>
    <col min="10744" max="10744" width="5.5703125" style="3" customWidth="1"/>
    <col min="10745" max="10745" width="5.85546875" style="3" customWidth="1"/>
    <col min="10746" max="10746" width="10" style="3" customWidth="1"/>
    <col min="10747" max="10948" width="9.140625" style="3"/>
    <col min="10949" max="10949" width="3.85546875" style="3" customWidth="1"/>
    <col min="10950" max="10950" width="5.28515625" style="3" customWidth="1"/>
    <col min="10951" max="10951" width="5" style="3" customWidth="1"/>
    <col min="10952" max="10952" width="13.85546875" style="3" customWidth="1"/>
    <col min="10953" max="10953" width="6" style="3" customWidth="1"/>
    <col min="10954" max="10954" width="2.85546875" style="3" customWidth="1"/>
    <col min="10955" max="10955" width="5.140625" style="3" customWidth="1"/>
    <col min="10956" max="10956" width="8.7109375" style="3" customWidth="1"/>
    <col min="10957" max="10957" width="4.28515625" style="3" customWidth="1"/>
    <col min="10958" max="10958" width="8.85546875" style="3" customWidth="1"/>
    <col min="10959" max="10959" width="6.5703125" style="3" customWidth="1"/>
    <col min="10960" max="10960" width="9" style="3" customWidth="1"/>
    <col min="10961" max="10961" width="17.5703125" style="3" customWidth="1"/>
    <col min="10962" max="10962" width="22.85546875" style="3" customWidth="1"/>
    <col min="10963" max="10963" width="27.42578125" style="3" customWidth="1"/>
    <col min="10964" max="10964" width="8.5703125" style="3" customWidth="1"/>
    <col min="10965" max="10966" width="8.42578125" style="3" customWidth="1"/>
    <col min="10967" max="10967" width="8.7109375" style="3" customWidth="1"/>
    <col min="10968" max="10968" width="8.42578125" style="3" customWidth="1"/>
    <col min="10969" max="10969" width="4.5703125" style="3" customWidth="1"/>
    <col min="10970" max="10970" width="5" style="3" customWidth="1"/>
    <col min="10971" max="10971" width="7" style="3" customWidth="1"/>
    <col min="10972" max="10972" width="5.5703125" style="3" customWidth="1"/>
    <col min="10973" max="10973" width="8.42578125" style="3" customWidth="1"/>
    <col min="10974" max="10975" width="5.140625" style="3" customWidth="1"/>
    <col min="10976" max="10976" width="6.5703125" style="3" customWidth="1"/>
    <col min="10977" max="10977" width="5" style="3" customWidth="1"/>
    <col min="10978" max="10978" width="4.5703125" style="3" customWidth="1"/>
    <col min="10979" max="10979" width="5.7109375" style="3" customWidth="1"/>
    <col min="10980" max="10980" width="4.85546875" style="3" customWidth="1"/>
    <col min="10981" max="10981" width="4" style="3" customWidth="1"/>
    <col min="10982" max="10982" width="4.7109375" style="3" customWidth="1"/>
    <col min="10983" max="10996" width="5.140625" style="3" customWidth="1"/>
    <col min="10997" max="10999" width="9.42578125" style="3" customWidth="1"/>
    <col min="11000" max="11000" width="5.5703125" style="3" customWidth="1"/>
    <col min="11001" max="11001" width="5.85546875" style="3" customWidth="1"/>
    <col min="11002" max="11002" width="10" style="3" customWidth="1"/>
    <col min="11003" max="11204" width="9.140625" style="3"/>
    <col min="11205" max="11205" width="3.85546875" style="3" customWidth="1"/>
    <col min="11206" max="11206" width="5.28515625" style="3" customWidth="1"/>
    <col min="11207" max="11207" width="5" style="3" customWidth="1"/>
    <col min="11208" max="11208" width="13.85546875" style="3" customWidth="1"/>
    <col min="11209" max="11209" width="6" style="3" customWidth="1"/>
    <col min="11210" max="11210" width="2.85546875" style="3" customWidth="1"/>
    <col min="11211" max="11211" width="5.140625" style="3" customWidth="1"/>
    <col min="11212" max="11212" width="8.7109375" style="3" customWidth="1"/>
    <col min="11213" max="11213" width="4.28515625" style="3" customWidth="1"/>
    <col min="11214" max="11214" width="8.85546875" style="3" customWidth="1"/>
    <col min="11215" max="11215" width="6.5703125" style="3" customWidth="1"/>
    <col min="11216" max="11216" width="9" style="3" customWidth="1"/>
    <col min="11217" max="11217" width="17.5703125" style="3" customWidth="1"/>
    <col min="11218" max="11218" width="22.85546875" style="3" customWidth="1"/>
    <col min="11219" max="11219" width="27.42578125" style="3" customWidth="1"/>
    <col min="11220" max="11220" width="8.5703125" style="3" customWidth="1"/>
    <col min="11221" max="11222" width="8.42578125" style="3" customWidth="1"/>
    <col min="11223" max="11223" width="8.7109375" style="3" customWidth="1"/>
    <col min="11224" max="11224" width="8.42578125" style="3" customWidth="1"/>
    <col min="11225" max="11225" width="4.5703125" style="3" customWidth="1"/>
    <col min="11226" max="11226" width="5" style="3" customWidth="1"/>
    <col min="11227" max="11227" width="7" style="3" customWidth="1"/>
    <col min="11228" max="11228" width="5.5703125" style="3" customWidth="1"/>
    <col min="11229" max="11229" width="8.42578125" style="3" customWidth="1"/>
    <col min="11230" max="11231" width="5.140625" style="3" customWidth="1"/>
    <col min="11232" max="11232" width="6.5703125" style="3" customWidth="1"/>
    <col min="11233" max="11233" width="5" style="3" customWidth="1"/>
    <col min="11234" max="11234" width="4.5703125" style="3" customWidth="1"/>
    <col min="11235" max="11235" width="5.7109375" style="3" customWidth="1"/>
    <col min="11236" max="11236" width="4.85546875" style="3" customWidth="1"/>
    <col min="11237" max="11237" width="4" style="3" customWidth="1"/>
    <col min="11238" max="11238" width="4.7109375" style="3" customWidth="1"/>
    <col min="11239" max="11252" width="5.140625" style="3" customWidth="1"/>
    <col min="11253" max="11255" width="9.42578125" style="3" customWidth="1"/>
    <col min="11256" max="11256" width="5.5703125" style="3" customWidth="1"/>
    <col min="11257" max="11257" width="5.85546875" style="3" customWidth="1"/>
    <col min="11258" max="11258" width="10" style="3" customWidth="1"/>
    <col min="11259" max="11460" width="9.140625" style="3"/>
    <col min="11461" max="11461" width="3.85546875" style="3" customWidth="1"/>
    <col min="11462" max="11462" width="5.28515625" style="3" customWidth="1"/>
    <col min="11463" max="11463" width="5" style="3" customWidth="1"/>
    <col min="11464" max="11464" width="13.85546875" style="3" customWidth="1"/>
    <col min="11465" max="11465" width="6" style="3" customWidth="1"/>
    <col min="11466" max="11466" width="2.85546875" style="3" customWidth="1"/>
    <col min="11467" max="11467" width="5.140625" style="3" customWidth="1"/>
    <col min="11468" max="11468" width="8.7109375" style="3" customWidth="1"/>
    <col min="11469" max="11469" width="4.28515625" style="3" customWidth="1"/>
    <col min="11470" max="11470" width="8.85546875" style="3" customWidth="1"/>
    <col min="11471" max="11471" width="6.5703125" style="3" customWidth="1"/>
    <col min="11472" max="11472" width="9" style="3" customWidth="1"/>
    <col min="11473" max="11473" width="17.5703125" style="3" customWidth="1"/>
    <col min="11474" max="11474" width="22.85546875" style="3" customWidth="1"/>
    <col min="11475" max="11475" width="27.42578125" style="3" customWidth="1"/>
    <col min="11476" max="11476" width="8.5703125" style="3" customWidth="1"/>
    <col min="11477" max="11478" width="8.42578125" style="3" customWidth="1"/>
    <col min="11479" max="11479" width="8.7109375" style="3" customWidth="1"/>
    <col min="11480" max="11480" width="8.42578125" style="3" customWidth="1"/>
    <col min="11481" max="11481" width="4.5703125" style="3" customWidth="1"/>
    <col min="11482" max="11482" width="5" style="3" customWidth="1"/>
    <col min="11483" max="11483" width="7" style="3" customWidth="1"/>
    <col min="11484" max="11484" width="5.5703125" style="3" customWidth="1"/>
    <col min="11485" max="11485" width="8.42578125" style="3" customWidth="1"/>
    <col min="11486" max="11487" width="5.140625" style="3" customWidth="1"/>
    <col min="11488" max="11488" width="6.5703125" style="3" customWidth="1"/>
    <col min="11489" max="11489" width="5" style="3" customWidth="1"/>
    <col min="11490" max="11490" width="4.5703125" style="3" customWidth="1"/>
    <col min="11491" max="11491" width="5.7109375" style="3" customWidth="1"/>
    <col min="11492" max="11492" width="4.85546875" style="3" customWidth="1"/>
    <col min="11493" max="11493" width="4" style="3" customWidth="1"/>
    <col min="11494" max="11494" width="4.7109375" style="3" customWidth="1"/>
    <col min="11495" max="11508" width="5.140625" style="3" customWidth="1"/>
    <col min="11509" max="11511" width="9.42578125" style="3" customWidth="1"/>
    <col min="11512" max="11512" width="5.5703125" style="3" customWidth="1"/>
    <col min="11513" max="11513" width="5.85546875" style="3" customWidth="1"/>
    <col min="11514" max="11514" width="10" style="3" customWidth="1"/>
    <col min="11515" max="11716" width="9.140625" style="3"/>
    <col min="11717" max="11717" width="3.85546875" style="3" customWidth="1"/>
    <col min="11718" max="11718" width="5.28515625" style="3" customWidth="1"/>
    <col min="11719" max="11719" width="5" style="3" customWidth="1"/>
    <col min="11720" max="11720" width="13.85546875" style="3" customWidth="1"/>
    <col min="11721" max="11721" width="6" style="3" customWidth="1"/>
    <col min="11722" max="11722" width="2.85546875" style="3" customWidth="1"/>
    <col min="11723" max="11723" width="5.140625" style="3" customWidth="1"/>
    <col min="11724" max="11724" width="8.7109375" style="3" customWidth="1"/>
    <col min="11725" max="11725" width="4.28515625" style="3" customWidth="1"/>
    <col min="11726" max="11726" width="8.85546875" style="3" customWidth="1"/>
    <col min="11727" max="11727" width="6.5703125" style="3" customWidth="1"/>
    <col min="11728" max="11728" width="9" style="3" customWidth="1"/>
    <col min="11729" max="11729" width="17.5703125" style="3" customWidth="1"/>
    <col min="11730" max="11730" width="22.85546875" style="3" customWidth="1"/>
    <col min="11731" max="11731" width="27.42578125" style="3" customWidth="1"/>
    <col min="11732" max="11732" width="8.5703125" style="3" customWidth="1"/>
    <col min="11733" max="11734" width="8.42578125" style="3" customWidth="1"/>
    <col min="11735" max="11735" width="8.7109375" style="3" customWidth="1"/>
    <col min="11736" max="11736" width="8.42578125" style="3" customWidth="1"/>
    <col min="11737" max="11737" width="4.5703125" style="3" customWidth="1"/>
    <col min="11738" max="11738" width="5" style="3" customWidth="1"/>
    <col min="11739" max="11739" width="7" style="3" customWidth="1"/>
    <col min="11740" max="11740" width="5.5703125" style="3" customWidth="1"/>
    <col min="11741" max="11741" width="8.42578125" style="3" customWidth="1"/>
    <col min="11742" max="11743" width="5.140625" style="3" customWidth="1"/>
    <col min="11744" max="11744" width="6.5703125" style="3" customWidth="1"/>
    <col min="11745" max="11745" width="5" style="3" customWidth="1"/>
    <col min="11746" max="11746" width="4.5703125" style="3" customWidth="1"/>
    <col min="11747" max="11747" width="5.7109375" style="3" customWidth="1"/>
    <col min="11748" max="11748" width="4.85546875" style="3" customWidth="1"/>
    <col min="11749" max="11749" width="4" style="3" customWidth="1"/>
    <col min="11750" max="11750" width="4.7109375" style="3" customWidth="1"/>
    <col min="11751" max="11764" width="5.140625" style="3" customWidth="1"/>
    <col min="11765" max="11767" width="9.42578125" style="3" customWidth="1"/>
    <col min="11768" max="11768" width="5.5703125" style="3" customWidth="1"/>
    <col min="11769" max="11769" width="5.85546875" style="3" customWidth="1"/>
    <col min="11770" max="11770" width="10" style="3" customWidth="1"/>
    <col min="11771" max="11972" width="9.140625" style="3"/>
    <col min="11973" max="11973" width="3.85546875" style="3" customWidth="1"/>
    <col min="11974" max="11974" width="5.28515625" style="3" customWidth="1"/>
    <col min="11975" max="11975" width="5" style="3" customWidth="1"/>
    <col min="11976" max="11976" width="13.85546875" style="3" customWidth="1"/>
    <col min="11977" max="11977" width="6" style="3" customWidth="1"/>
    <col min="11978" max="11978" width="2.85546875" style="3" customWidth="1"/>
    <col min="11979" max="11979" width="5.140625" style="3" customWidth="1"/>
    <col min="11980" max="11980" width="8.7109375" style="3" customWidth="1"/>
    <col min="11981" max="11981" width="4.28515625" style="3" customWidth="1"/>
    <col min="11982" max="11982" width="8.85546875" style="3" customWidth="1"/>
    <col min="11983" max="11983" width="6.5703125" style="3" customWidth="1"/>
    <col min="11984" max="11984" width="9" style="3" customWidth="1"/>
    <col min="11985" max="11985" width="17.5703125" style="3" customWidth="1"/>
    <col min="11986" max="11986" width="22.85546875" style="3" customWidth="1"/>
    <col min="11987" max="11987" width="27.42578125" style="3" customWidth="1"/>
    <col min="11988" max="11988" width="8.5703125" style="3" customWidth="1"/>
    <col min="11989" max="11990" width="8.42578125" style="3" customWidth="1"/>
    <col min="11991" max="11991" width="8.7109375" style="3" customWidth="1"/>
    <col min="11992" max="11992" width="8.42578125" style="3" customWidth="1"/>
    <col min="11993" max="11993" width="4.5703125" style="3" customWidth="1"/>
    <col min="11994" max="11994" width="5" style="3" customWidth="1"/>
    <col min="11995" max="11995" width="7" style="3" customWidth="1"/>
    <col min="11996" max="11996" width="5.5703125" style="3" customWidth="1"/>
    <col min="11997" max="11997" width="8.42578125" style="3" customWidth="1"/>
    <col min="11998" max="11999" width="5.140625" style="3" customWidth="1"/>
    <col min="12000" max="12000" width="6.5703125" style="3" customWidth="1"/>
    <col min="12001" max="12001" width="5" style="3" customWidth="1"/>
    <col min="12002" max="12002" width="4.5703125" style="3" customWidth="1"/>
    <col min="12003" max="12003" width="5.7109375" style="3" customWidth="1"/>
    <col min="12004" max="12004" width="4.85546875" style="3" customWidth="1"/>
    <col min="12005" max="12005" width="4" style="3" customWidth="1"/>
    <col min="12006" max="12006" width="4.7109375" style="3" customWidth="1"/>
    <col min="12007" max="12020" width="5.140625" style="3" customWidth="1"/>
    <col min="12021" max="12023" width="9.42578125" style="3" customWidth="1"/>
    <col min="12024" max="12024" width="5.5703125" style="3" customWidth="1"/>
    <col min="12025" max="12025" width="5.85546875" style="3" customWidth="1"/>
    <col min="12026" max="12026" width="10" style="3" customWidth="1"/>
    <col min="12027" max="12228" width="9.140625" style="3"/>
    <col min="12229" max="12229" width="3.85546875" style="3" customWidth="1"/>
    <col min="12230" max="12230" width="5.28515625" style="3" customWidth="1"/>
    <col min="12231" max="12231" width="5" style="3" customWidth="1"/>
    <col min="12232" max="12232" width="13.85546875" style="3" customWidth="1"/>
    <col min="12233" max="12233" width="6" style="3" customWidth="1"/>
    <col min="12234" max="12234" width="2.85546875" style="3" customWidth="1"/>
    <col min="12235" max="12235" width="5.140625" style="3" customWidth="1"/>
    <col min="12236" max="12236" width="8.7109375" style="3" customWidth="1"/>
    <col min="12237" max="12237" width="4.28515625" style="3" customWidth="1"/>
    <col min="12238" max="12238" width="8.85546875" style="3" customWidth="1"/>
    <col min="12239" max="12239" width="6.5703125" style="3" customWidth="1"/>
    <col min="12240" max="12240" width="9" style="3" customWidth="1"/>
    <col min="12241" max="12241" width="17.5703125" style="3" customWidth="1"/>
    <col min="12242" max="12242" width="22.85546875" style="3" customWidth="1"/>
    <col min="12243" max="12243" width="27.42578125" style="3" customWidth="1"/>
    <col min="12244" max="12244" width="8.5703125" style="3" customWidth="1"/>
    <col min="12245" max="12246" width="8.42578125" style="3" customWidth="1"/>
    <col min="12247" max="12247" width="8.7109375" style="3" customWidth="1"/>
    <col min="12248" max="12248" width="8.42578125" style="3" customWidth="1"/>
    <col min="12249" max="12249" width="4.5703125" style="3" customWidth="1"/>
    <col min="12250" max="12250" width="5" style="3" customWidth="1"/>
    <col min="12251" max="12251" width="7" style="3" customWidth="1"/>
    <col min="12252" max="12252" width="5.5703125" style="3" customWidth="1"/>
    <col min="12253" max="12253" width="8.42578125" style="3" customWidth="1"/>
    <col min="12254" max="12255" width="5.140625" style="3" customWidth="1"/>
    <col min="12256" max="12256" width="6.5703125" style="3" customWidth="1"/>
    <col min="12257" max="12257" width="5" style="3" customWidth="1"/>
    <col min="12258" max="12258" width="4.5703125" style="3" customWidth="1"/>
    <col min="12259" max="12259" width="5.7109375" style="3" customWidth="1"/>
    <col min="12260" max="12260" width="4.85546875" style="3" customWidth="1"/>
    <col min="12261" max="12261" width="4" style="3" customWidth="1"/>
    <col min="12262" max="12262" width="4.7109375" style="3" customWidth="1"/>
    <col min="12263" max="12276" width="5.140625" style="3" customWidth="1"/>
    <col min="12277" max="12279" width="9.42578125" style="3" customWidth="1"/>
    <col min="12280" max="12280" width="5.5703125" style="3" customWidth="1"/>
    <col min="12281" max="12281" width="5.85546875" style="3" customWidth="1"/>
    <col min="12282" max="12282" width="10" style="3" customWidth="1"/>
    <col min="12283" max="12484" width="9.140625" style="3"/>
    <col min="12485" max="12485" width="3.85546875" style="3" customWidth="1"/>
    <col min="12486" max="12486" width="5.28515625" style="3" customWidth="1"/>
    <col min="12487" max="12487" width="5" style="3" customWidth="1"/>
    <col min="12488" max="12488" width="13.85546875" style="3" customWidth="1"/>
    <col min="12489" max="12489" width="6" style="3" customWidth="1"/>
    <col min="12490" max="12490" width="2.85546875" style="3" customWidth="1"/>
    <col min="12491" max="12491" width="5.140625" style="3" customWidth="1"/>
    <col min="12492" max="12492" width="8.7109375" style="3" customWidth="1"/>
    <col min="12493" max="12493" width="4.28515625" style="3" customWidth="1"/>
    <col min="12494" max="12494" width="8.85546875" style="3" customWidth="1"/>
    <col min="12495" max="12495" width="6.5703125" style="3" customWidth="1"/>
    <col min="12496" max="12496" width="9" style="3" customWidth="1"/>
    <col min="12497" max="12497" width="17.5703125" style="3" customWidth="1"/>
    <col min="12498" max="12498" width="22.85546875" style="3" customWidth="1"/>
    <col min="12499" max="12499" width="27.42578125" style="3" customWidth="1"/>
    <col min="12500" max="12500" width="8.5703125" style="3" customWidth="1"/>
    <col min="12501" max="12502" width="8.42578125" style="3" customWidth="1"/>
    <col min="12503" max="12503" width="8.7109375" style="3" customWidth="1"/>
    <col min="12504" max="12504" width="8.42578125" style="3" customWidth="1"/>
    <col min="12505" max="12505" width="4.5703125" style="3" customWidth="1"/>
    <col min="12506" max="12506" width="5" style="3" customWidth="1"/>
    <col min="12507" max="12507" width="7" style="3" customWidth="1"/>
    <col min="12508" max="12508" width="5.5703125" style="3" customWidth="1"/>
    <col min="12509" max="12509" width="8.42578125" style="3" customWidth="1"/>
    <col min="12510" max="12511" width="5.140625" style="3" customWidth="1"/>
    <col min="12512" max="12512" width="6.5703125" style="3" customWidth="1"/>
    <col min="12513" max="12513" width="5" style="3" customWidth="1"/>
    <col min="12514" max="12514" width="4.5703125" style="3" customWidth="1"/>
    <col min="12515" max="12515" width="5.7109375" style="3" customWidth="1"/>
    <col min="12516" max="12516" width="4.85546875" style="3" customWidth="1"/>
    <col min="12517" max="12517" width="4" style="3" customWidth="1"/>
    <col min="12518" max="12518" width="4.7109375" style="3" customWidth="1"/>
    <col min="12519" max="12532" width="5.140625" style="3" customWidth="1"/>
    <col min="12533" max="12535" width="9.42578125" style="3" customWidth="1"/>
    <col min="12536" max="12536" width="5.5703125" style="3" customWidth="1"/>
    <col min="12537" max="12537" width="5.85546875" style="3" customWidth="1"/>
    <col min="12538" max="12538" width="10" style="3" customWidth="1"/>
    <col min="12539" max="12740" width="9.140625" style="3"/>
    <col min="12741" max="12741" width="3.85546875" style="3" customWidth="1"/>
    <col min="12742" max="12742" width="5.28515625" style="3" customWidth="1"/>
    <col min="12743" max="12743" width="5" style="3" customWidth="1"/>
    <col min="12744" max="12744" width="13.85546875" style="3" customWidth="1"/>
    <col min="12745" max="12745" width="6" style="3" customWidth="1"/>
    <col min="12746" max="12746" width="2.85546875" style="3" customWidth="1"/>
    <col min="12747" max="12747" width="5.140625" style="3" customWidth="1"/>
    <col min="12748" max="12748" width="8.7109375" style="3" customWidth="1"/>
    <col min="12749" max="12749" width="4.28515625" style="3" customWidth="1"/>
    <col min="12750" max="12750" width="8.85546875" style="3" customWidth="1"/>
    <col min="12751" max="12751" width="6.5703125" style="3" customWidth="1"/>
    <col min="12752" max="12752" width="9" style="3" customWidth="1"/>
    <col min="12753" max="12753" width="17.5703125" style="3" customWidth="1"/>
    <col min="12754" max="12754" width="22.85546875" style="3" customWidth="1"/>
    <col min="12755" max="12755" width="27.42578125" style="3" customWidth="1"/>
    <col min="12756" max="12756" width="8.5703125" style="3" customWidth="1"/>
    <col min="12757" max="12758" width="8.42578125" style="3" customWidth="1"/>
    <col min="12759" max="12759" width="8.7109375" style="3" customWidth="1"/>
    <col min="12760" max="12760" width="8.42578125" style="3" customWidth="1"/>
    <col min="12761" max="12761" width="4.5703125" style="3" customWidth="1"/>
    <col min="12762" max="12762" width="5" style="3" customWidth="1"/>
    <col min="12763" max="12763" width="7" style="3" customWidth="1"/>
    <col min="12764" max="12764" width="5.5703125" style="3" customWidth="1"/>
    <col min="12765" max="12765" width="8.42578125" style="3" customWidth="1"/>
    <col min="12766" max="12767" width="5.140625" style="3" customWidth="1"/>
    <col min="12768" max="12768" width="6.5703125" style="3" customWidth="1"/>
    <col min="12769" max="12769" width="5" style="3" customWidth="1"/>
    <col min="12770" max="12770" width="4.5703125" style="3" customWidth="1"/>
    <col min="12771" max="12771" width="5.7109375" style="3" customWidth="1"/>
    <col min="12772" max="12772" width="4.85546875" style="3" customWidth="1"/>
    <col min="12773" max="12773" width="4" style="3" customWidth="1"/>
    <col min="12774" max="12774" width="4.7109375" style="3" customWidth="1"/>
    <col min="12775" max="12788" width="5.140625" style="3" customWidth="1"/>
    <col min="12789" max="12791" width="9.42578125" style="3" customWidth="1"/>
    <col min="12792" max="12792" width="5.5703125" style="3" customWidth="1"/>
    <col min="12793" max="12793" width="5.85546875" style="3" customWidth="1"/>
    <col min="12794" max="12794" width="10" style="3" customWidth="1"/>
    <col min="12795" max="12996" width="9.140625" style="3"/>
    <col min="12997" max="12997" width="3.85546875" style="3" customWidth="1"/>
    <col min="12998" max="12998" width="5.28515625" style="3" customWidth="1"/>
    <col min="12999" max="12999" width="5" style="3" customWidth="1"/>
    <col min="13000" max="13000" width="13.85546875" style="3" customWidth="1"/>
    <col min="13001" max="13001" width="6" style="3" customWidth="1"/>
    <col min="13002" max="13002" width="2.85546875" style="3" customWidth="1"/>
    <col min="13003" max="13003" width="5.140625" style="3" customWidth="1"/>
    <col min="13004" max="13004" width="8.7109375" style="3" customWidth="1"/>
    <col min="13005" max="13005" width="4.28515625" style="3" customWidth="1"/>
    <col min="13006" max="13006" width="8.85546875" style="3" customWidth="1"/>
    <col min="13007" max="13007" width="6.5703125" style="3" customWidth="1"/>
    <col min="13008" max="13008" width="9" style="3" customWidth="1"/>
    <col min="13009" max="13009" width="17.5703125" style="3" customWidth="1"/>
    <col min="13010" max="13010" width="22.85546875" style="3" customWidth="1"/>
    <col min="13011" max="13011" width="27.42578125" style="3" customWidth="1"/>
    <col min="13012" max="13012" width="8.5703125" style="3" customWidth="1"/>
    <col min="13013" max="13014" width="8.42578125" style="3" customWidth="1"/>
    <col min="13015" max="13015" width="8.7109375" style="3" customWidth="1"/>
    <col min="13016" max="13016" width="8.42578125" style="3" customWidth="1"/>
    <col min="13017" max="13017" width="4.5703125" style="3" customWidth="1"/>
    <col min="13018" max="13018" width="5" style="3" customWidth="1"/>
    <col min="13019" max="13019" width="7" style="3" customWidth="1"/>
    <col min="13020" max="13020" width="5.5703125" style="3" customWidth="1"/>
    <col min="13021" max="13021" width="8.42578125" style="3" customWidth="1"/>
    <col min="13022" max="13023" width="5.140625" style="3" customWidth="1"/>
    <col min="13024" max="13024" width="6.5703125" style="3" customWidth="1"/>
    <col min="13025" max="13025" width="5" style="3" customWidth="1"/>
    <col min="13026" max="13026" width="4.5703125" style="3" customWidth="1"/>
    <col min="13027" max="13027" width="5.7109375" style="3" customWidth="1"/>
    <col min="13028" max="13028" width="4.85546875" style="3" customWidth="1"/>
    <col min="13029" max="13029" width="4" style="3" customWidth="1"/>
    <col min="13030" max="13030" width="4.7109375" style="3" customWidth="1"/>
    <col min="13031" max="13044" width="5.140625" style="3" customWidth="1"/>
    <col min="13045" max="13047" width="9.42578125" style="3" customWidth="1"/>
    <col min="13048" max="13048" width="5.5703125" style="3" customWidth="1"/>
    <col min="13049" max="13049" width="5.85546875" style="3" customWidth="1"/>
    <col min="13050" max="13050" width="10" style="3" customWidth="1"/>
    <col min="13051" max="13252" width="9.140625" style="3"/>
    <col min="13253" max="13253" width="3.85546875" style="3" customWidth="1"/>
    <col min="13254" max="13254" width="5.28515625" style="3" customWidth="1"/>
    <col min="13255" max="13255" width="5" style="3" customWidth="1"/>
    <col min="13256" max="13256" width="13.85546875" style="3" customWidth="1"/>
    <col min="13257" max="13257" width="6" style="3" customWidth="1"/>
    <col min="13258" max="13258" width="2.85546875" style="3" customWidth="1"/>
    <col min="13259" max="13259" width="5.140625" style="3" customWidth="1"/>
    <col min="13260" max="13260" width="8.7109375" style="3" customWidth="1"/>
    <col min="13261" max="13261" width="4.28515625" style="3" customWidth="1"/>
    <col min="13262" max="13262" width="8.85546875" style="3" customWidth="1"/>
    <col min="13263" max="13263" width="6.5703125" style="3" customWidth="1"/>
    <col min="13264" max="13264" width="9" style="3" customWidth="1"/>
    <col min="13265" max="13265" width="17.5703125" style="3" customWidth="1"/>
    <col min="13266" max="13266" width="22.85546875" style="3" customWidth="1"/>
    <col min="13267" max="13267" width="27.42578125" style="3" customWidth="1"/>
    <col min="13268" max="13268" width="8.5703125" style="3" customWidth="1"/>
    <col min="13269" max="13270" width="8.42578125" style="3" customWidth="1"/>
    <col min="13271" max="13271" width="8.7109375" style="3" customWidth="1"/>
    <col min="13272" max="13272" width="8.42578125" style="3" customWidth="1"/>
    <col min="13273" max="13273" width="4.5703125" style="3" customWidth="1"/>
    <col min="13274" max="13274" width="5" style="3" customWidth="1"/>
    <col min="13275" max="13275" width="7" style="3" customWidth="1"/>
    <col min="13276" max="13276" width="5.5703125" style="3" customWidth="1"/>
    <col min="13277" max="13277" width="8.42578125" style="3" customWidth="1"/>
    <col min="13278" max="13279" width="5.140625" style="3" customWidth="1"/>
    <col min="13280" max="13280" width="6.5703125" style="3" customWidth="1"/>
    <col min="13281" max="13281" width="5" style="3" customWidth="1"/>
    <col min="13282" max="13282" width="4.5703125" style="3" customWidth="1"/>
    <col min="13283" max="13283" width="5.7109375" style="3" customWidth="1"/>
    <col min="13284" max="13284" width="4.85546875" style="3" customWidth="1"/>
    <col min="13285" max="13285" width="4" style="3" customWidth="1"/>
    <col min="13286" max="13286" width="4.7109375" style="3" customWidth="1"/>
    <col min="13287" max="13300" width="5.140625" style="3" customWidth="1"/>
    <col min="13301" max="13303" width="9.42578125" style="3" customWidth="1"/>
    <col min="13304" max="13304" width="5.5703125" style="3" customWidth="1"/>
    <col min="13305" max="13305" width="5.85546875" style="3" customWidth="1"/>
    <col min="13306" max="13306" width="10" style="3" customWidth="1"/>
    <col min="13307" max="13508" width="9.140625" style="3"/>
    <col min="13509" max="13509" width="3.85546875" style="3" customWidth="1"/>
    <col min="13510" max="13510" width="5.28515625" style="3" customWidth="1"/>
    <col min="13511" max="13511" width="5" style="3" customWidth="1"/>
    <col min="13512" max="13512" width="13.85546875" style="3" customWidth="1"/>
    <col min="13513" max="13513" width="6" style="3" customWidth="1"/>
    <col min="13514" max="13514" width="2.85546875" style="3" customWidth="1"/>
    <col min="13515" max="13515" width="5.140625" style="3" customWidth="1"/>
    <col min="13516" max="13516" width="8.7109375" style="3" customWidth="1"/>
    <col min="13517" max="13517" width="4.28515625" style="3" customWidth="1"/>
    <col min="13518" max="13518" width="8.85546875" style="3" customWidth="1"/>
    <col min="13519" max="13519" width="6.5703125" style="3" customWidth="1"/>
    <col min="13520" max="13520" width="9" style="3" customWidth="1"/>
    <col min="13521" max="13521" width="17.5703125" style="3" customWidth="1"/>
    <col min="13522" max="13522" width="22.85546875" style="3" customWidth="1"/>
    <col min="13523" max="13523" width="27.42578125" style="3" customWidth="1"/>
    <col min="13524" max="13524" width="8.5703125" style="3" customWidth="1"/>
    <col min="13525" max="13526" width="8.42578125" style="3" customWidth="1"/>
    <col min="13527" max="13527" width="8.7109375" style="3" customWidth="1"/>
    <col min="13528" max="13528" width="8.42578125" style="3" customWidth="1"/>
    <col min="13529" max="13529" width="4.5703125" style="3" customWidth="1"/>
    <col min="13530" max="13530" width="5" style="3" customWidth="1"/>
    <col min="13531" max="13531" width="7" style="3" customWidth="1"/>
    <col min="13532" max="13532" width="5.5703125" style="3" customWidth="1"/>
    <col min="13533" max="13533" width="8.42578125" style="3" customWidth="1"/>
    <col min="13534" max="13535" width="5.140625" style="3" customWidth="1"/>
    <col min="13536" max="13536" width="6.5703125" style="3" customWidth="1"/>
    <col min="13537" max="13537" width="5" style="3" customWidth="1"/>
    <col min="13538" max="13538" width="4.5703125" style="3" customWidth="1"/>
    <col min="13539" max="13539" width="5.7109375" style="3" customWidth="1"/>
    <col min="13540" max="13540" width="4.85546875" style="3" customWidth="1"/>
    <col min="13541" max="13541" width="4" style="3" customWidth="1"/>
    <col min="13542" max="13542" width="4.7109375" style="3" customWidth="1"/>
    <col min="13543" max="13556" width="5.140625" style="3" customWidth="1"/>
    <col min="13557" max="13559" width="9.42578125" style="3" customWidth="1"/>
    <col min="13560" max="13560" width="5.5703125" style="3" customWidth="1"/>
    <col min="13561" max="13561" width="5.85546875" style="3" customWidth="1"/>
    <col min="13562" max="13562" width="10" style="3" customWidth="1"/>
    <col min="13563" max="13764" width="9.140625" style="3"/>
    <col min="13765" max="13765" width="3.85546875" style="3" customWidth="1"/>
    <col min="13766" max="13766" width="5.28515625" style="3" customWidth="1"/>
    <col min="13767" max="13767" width="5" style="3" customWidth="1"/>
    <col min="13768" max="13768" width="13.85546875" style="3" customWidth="1"/>
    <col min="13769" max="13769" width="6" style="3" customWidth="1"/>
    <col min="13770" max="13770" width="2.85546875" style="3" customWidth="1"/>
    <col min="13771" max="13771" width="5.140625" style="3" customWidth="1"/>
    <col min="13772" max="13772" width="8.7109375" style="3" customWidth="1"/>
    <col min="13773" max="13773" width="4.28515625" style="3" customWidth="1"/>
    <col min="13774" max="13774" width="8.85546875" style="3" customWidth="1"/>
    <col min="13775" max="13775" width="6.5703125" style="3" customWidth="1"/>
    <col min="13776" max="13776" width="9" style="3" customWidth="1"/>
    <col min="13777" max="13777" width="17.5703125" style="3" customWidth="1"/>
    <col min="13778" max="13778" width="22.85546875" style="3" customWidth="1"/>
    <col min="13779" max="13779" width="27.42578125" style="3" customWidth="1"/>
    <col min="13780" max="13780" width="8.5703125" style="3" customWidth="1"/>
    <col min="13781" max="13782" width="8.42578125" style="3" customWidth="1"/>
    <col min="13783" max="13783" width="8.7109375" style="3" customWidth="1"/>
    <col min="13784" max="13784" width="8.42578125" style="3" customWidth="1"/>
    <col min="13785" max="13785" width="4.5703125" style="3" customWidth="1"/>
    <col min="13786" max="13786" width="5" style="3" customWidth="1"/>
    <col min="13787" max="13787" width="7" style="3" customWidth="1"/>
    <col min="13788" max="13788" width="5.5703125" style="3" customWidth="1"/>
    <col min="13789" max="13789" width="8.42578125" style="3" customWidth="1"/>
    <col min="13790" max="13791" width="5.140625" style="3" customWidth="1"/>
    <col min="13792" max="13792" width="6.5703125" style="3" customWidth="1"/>
    <col min="13793" max="13793" width="5" style="3" customWidth="1"/>
    <col min="13794" max="13794" width="4.5703125" style="3" customWidth="1"/>
    <col min="13795" max="13795" width="5.7109375" style="3" customWidth="1"/>
    <col min="13796" max="13796" width="4.85546875" style="3" customWidth="1"/>
    <col min="13797" max="13797" width="4" style="3" customWidth="1"/>
    <col min="13798" max="13798" width="4.7109375" style="3" customWidth="1"/>
    <col min="13799" max="13812" width="5.140625" style="3" customWidth="1"/>
    <col min="13813" max="13815" width="9.42578125" style="3" customWidth="1"/>
    <col min="13816" max="13816" width="5.5703125" style="3" customWidth="1"/>
    <col min="13817" max="13817" width="5.85546875" style="3" customWidth="1"/>
    <col min="13818" max="13818" width="10" style="3" customWidth="1"/>
    <col min="13819" max="14020" width="9.140625" style="3"/>
    <col min="14021" max="14021" width="3.85546875" style="3" customWidth="1"/>
    <col min="14022" max="14022" width="5.28515625" style="3" customWidth="1"/>
    <col min="14023" max="14023" width="5" style="3" customWidth="1"/>
    <col min="14024" max="14024" width="13.85546875" style="3" customWidth="1"/>
    <col min="14025" max="14025" width="6" style="3" customWidth="1"/>
    <col min="14026" max="14026" width="2.85546875" style="3" customWidth="1"/>
    <col min="14027" max="14027" width="5.140625" style="3" customWidth="1"/>
    <col min="14028" max="14028" width="8.7109375" style="3" customWidth="1"/>
    <col min="14029" max="14029" width="4.28515625" style="3" customWidth="1"/>
    <col min="14030" max="14030" width="8.85546875" style="3" customWidth="1"/>
    <col min="14031" max="14031" width="6.5703125" style="3" customWidth="1"/>
    <col min="14032" max="14032" width="9" style="3" customWidth="1"/>
    <col min="14033" max="14033" width="17.5703125" style="3" customWidth="1"/>
    <col min="14034" max="14034" width="22.85546875" style="3" customWidth="1"/>
    <col min="14035" max="14035" width="27.42578125" style="3" customWidth="1"/>
    <col min="14036" max="14036" width="8.5703125" style="3" customWidth="1"/>
    <col min="14037" max="14038" width="8.42578125" style="3" customWidth="1"/>
    <col min="14039" max="14039" width="8.7109375" style="3" customWidth="1"/>
    <col min="14040" max="14040" width="8.42578125" style="3" customWidth="1"/>
    <col min="14041" max="14041" width="4.5703125" style="3" customWidth="1"/>
    <col min="14042" max="14042" width="5" style="3" customWidth="1"/>
    <col min="14043" max="14043" width="7" style="3" customWidth="1"/>
    <col min="14044" max="14044" width="5.5703125" style="3" customWidth="1"/>
    <col min="14045" max="14045" width="8.42578125" style="3" customWidth="1"/>
    <col min="14046" max="14047" width="5.140625" style="3" customWidth="1"/>
    <col min="14048" max="14048" width="6.5703125" style="3" customWidth="1"/>
    <col min="14049" max="14049" width="5" style="3" customWidth="1"/>
    <col min="14050" max="14050" width="4.5703125" style="3" customWidth="1"/>
    <col min="14051" max="14051" width="5.7109375" style="3" customWidth="1"/>
    <col min="14052" max="14052" width="4.85546875" style="3" customWidth="1"/>
    <col min="14053" max="14053" width="4" style="3" customWidth="1"/>
    <col min="14054" max="14054" width="4.7109375" style="3" customWidth="1"/>
    <col min="14055" max="14068" width="5.140625" style="3" customWidth="1"/>
    <col min="14069" max="14071" width="9.42578125" style="3" customWidth="1"/>
    <col min="14072" max="14072" width="5.5703125" style="3" customWidth="1"/>
    <col min="14073" max="14073" width="5.85546875" style="3" customWidth="1"/>
    <col min="14074" max="14074" width="10" style="3" customWidth="1"/>
    <col min="14075" max="14276" width="9.140625" style="3"/>
    <col min="14277" max="14277" width="3.85546875" style="3" customWidth="1"/>
    <col min="14278" max="14278" width="5.28515625" style="3" customWidth="1"/>
    <col min="14279" max="14279" width="5" style="3" customWidth="1"/>
    <col min="14280" max="14280" width="13.85546875" style="3" customWidth="1"/>
    <col min="14281" max="14281" width="6" style="3" customWidth="1"/>
    <col min="14282" max="14282" width="2.85546875" style="3" customWidth="1"/>
    <col min="14283" max="14283" width="5.140625" style="3" customWidth="1"/>
    <col min="14284" max="14284" width="8.7109375" style="3" customWidth="1"/>
    <col min="14285" max="14285" width="4.28515625" style="3" customWidth="1"/>
    <col min="14286" max="14286" width="8.85546875" style="3" customWidth="1"/>
    <col min="14287" max="14287" width="6.5703125" style="3" customWidth="1"/>
    <col min="14288" max="14288" width="9" style="3" customWidth="1"/>
    <col min="14289" max="14289" width="17.5703125" style="3" customWidth="1"/>
    <col min="14290" max="14290" width="22.85546875" style="3" customWidth="1"/>
    <col min="14291" max="14291" width="27.42578125" style="3" customWidth="1"/>
    <col min="14292" max="14292" width="8.5703125" style="3" customWidth="1"/>
    <col min="14293" max="14294" width="8.42578125" style="3" customWidth="1"/>
    <col min="14295" max="14295" width="8.7109375" style="3" customWidth="1"/>
    <col min="14296" max="14296" width="8.42578125" style="3" customWidth="1"/>
    <col min="14297" max="14297" width="4.5703125" style="3" customWidth="1"/>
    <col min="14298" max="14298" width="5" style="3" customWidth="1"/>
    <col min="14299" max="14299" width="7" style="3" customWidth="1"/>
    <col min="14300" max="14300" width="5.5703125" style="3" customWidth="1"/>
    <col min="14301" max="14301" width="8.42578125" style="3" customWidth="1"/>
    <col min="14302" max="14303" width="5.140625" style="3" customWidth="1"/>
    <col min="14304" max="14304" width="6.5703125" style="3" customWidth="1"/>
    <col min="14305" max="14305" width="5" style="3" customWidth="1"/>
    <col min="14306" max="14306" width="4.5703125" style="3" customWidth="1"/>
    <col min="14307" max="14307" width="5.7109375" style="3" customWidth="1"/>
    <col min="14308" max="14308" width="4.85546875" style="3" customWidth="1"/>
    <col min="14309" max="14309" width="4" style="3" customWidth="1"/>
    <col min="14310" max="14310" width="4.7109375" style="3" customWidth="1"/>
    <col min="14311" max="14324" width="5.140625" style="3" customWidth="1"/>
    <col min="14325" max="14327" width="9.42578125" style="3" customWidth="1"/>
    <col min="14328" max="14328" width="5.5703125" style="3" customWidth="1"/>
    <col min="14329" max="14329" width="5.85546875" style="3" customWidth="1"/>
    <col min="14330" max="14330" width="10" style="3" customWidth="1"/>
    <col min="14331" max="14532" width="9.140625" style="3"/>
    <col min="14533" max="14533" width="3.85546875" style="3" customWidth="1"/>
    <col min="14534" max="14534" width="5.28515625" style="3" customWidth="1"/>
    <col min="14535" max="14535" width="5" style="3" customWidth="1"/>
    <col min="14536" max="14536" width="13.85546875" style="3" customWidth="1"/>
    <col min="14537" max="14537" width="6" style="3" customWidth="1"/>
    <col min="14538" max="14538" width="2.85546875" style="3" customWidth="1"/>
    <col min="14539" max="14539" width="5.140625" style="3" customWidth="1"/>
    <col min="14540" max="14540" width="8.7109375" style="3" customWidth="1"/>
    <col min="14541" max="14541" width="4.28515625" style="3" customWidth="1"/>
    <col min="14542" max="14542" width="8.85546875" style="3" customWidth="1"/>
    <col min="14543" max="14543" width="6.5703125" style="3" customWidth="1"/>
    <col min="14544" max="14544" width="9" style="3" customWidth="1"/>
    <col min="14545" max="14545" width="17.5703125" style="3" customWidth="1"/>
    <col min="14546" max="14546" width="22.85546875" style="3" customWidth="1"/>
    <col min="14547" max="14547" width="27.42578125" style="3" customWidth="1"/>
    <col min="14548" max="14548" width="8.5703125" style="3" customWidth="1"/>
    <col min="14549" max="14550" width="8.42578125" style="3" customWidth="1"/>
    <col min="14551" max="14551" width="8.7109375" style="3" customWidth="1"/>
    <col min="14552" max="14552" width="8.42578125" style="3" customWidth="1"/>
    <col min="14553" max="14553" width="4.5703125" style="3" customWidth="1"/>
    <col min="14554" max="14554" width="5" style="3" customWidth="1"/>
    <col min="14555" max="14555" width="7" style="3" customWidth="1"/>
    <col min="14556" max="14556" width="5.5703125" style="3" customWidth="1"/>
    <col min="14557" max="14557" width="8.42578125" style="3" customWidth="1"/>
    <col min="14558" max="14559" width="5.140625" style="3" customWidth="1"/>
    <col min="14560" max="14560" width="6.5703125" style="3" customWidth="1"/>
    <col min="14561" max="14561" width="5" style="3" customWidth="1"/>
    <col min="14562" max="14562" width="4.5703125" style="3" customWidth="1"/>
    <col min="14563" max="14563" width="5.7109375" style="3" customWidth="1"/>
    <col min="14564" max="14564" width="4.85546875" style="3" customWidth="1"/>
    <col min="14565" max="14565" width="4" style="3" customWidth="1"/>
    <col min="14566" max="14566" width="4.7109375" style="3" customWidth="1"/>
    <col min="14567" max="14580" width="5.140625" style="3" customWidth="1"/>
    <col min="14581" max="14583" width="9.42578125" style="3" customWidth="1"/>
    <col min="14584" max="14584" width="5.5703125" style="3" customWidth="1"/>
    <col min="14585" max="14585" width="5.85546875" style="3" customWidth="1"/>
    <col min="14586" max="14586" width="10" style="3" customWidth="1"/>
    <col min="14587" max="14788" width="9.140625" style="3"/>
    <col min="14789" max="14789" width="3.85546875" style="3" customWidth="1"/>
    <col min="14790" max="14790" width="5.28515625" style="3" customWidth="1"/>
    <col min="14791" max="14791" width="5" style="3" customWidth="1"/>
    <col min="14792" max="14792" width="13.85546875" style="3" customWidth="1"/>
    <col min="14793" max="14793" width="6" style="3" customWidth="1"/>
    <col min="14794" max="14794" width="2.85546875" style="3" customWidth="1"/>
    <col min="14795" max="14795" width="5.140625" style="3" customWidth="1"/>
    <col min="14796" max="14796" width="8.7109375" style="3" customWidth="1"/>
    <col min="14797" max="14797" width="4.28515625" style="3" customWidth="1"/>
    <col min="14798" max="14798" width="8.85546875" style="3" customWidth="1"/>
    <col min="14799" max="14799" width="6.5703125" style="3" customWidth="1"/>
    <col min="14800" max="14800" width="9" style="3" customWidth="1"/>
    <col min="14801" max="14801" width="17.5703125" style="3" customWidth="1"/>
    <col min="14802" max="14802" width="22.85546875" style="3" customWidth="1"/>
    <col min="14803" max="14803" width="27.42578125" style="3" customWidth="1"/>
    <col min="14804" max="14804" width="8.5703125" style="3" customWidth="1"/>
    <col min="14805" max="14806" width="8.42578125" style="3" customWidth="1"/>
    <col min="14807" max="14807" width="8.7109375" style="3" customWidth="1"/>
    <col min="14808" max="14808" width="8.42578125" style="3" customWidth="1"/>
    <col min="14809" max="14809" width="4.5703125" style="3" customWidth="1"/>
    <col min="14810" max="14810" width="5" style="3" customWidth="1"/>
    <col min="14811" max="14811" width="7" style="3" customWidth="1"/>
    <col min="14812" max="14812" width="5.5703125" style="3" customWidth="1"/>
    <col min="14813" max="14813" width="8.42578125" style="3" customWidth="1"/>
    <col min="14814" max="14815" width="5.140625" style="3" customWidth="1"/>
    <col min="14816" max="14816" width="6.5703125" style="3" customWidth="1"/>
    <col min="14817" max="14817" width="5" style="3" customWidth="1"/>
    <col min="14818" max="14818" width="4.5703125" style="3" customWidth="1"/>
    <col min="14819" max="14819" width="5.7109375" style="3" customWidth="1"/>
    <col min="14820" max="14820" width="4.85546875" style="3" customWidth="1"/>
    <col min="14821" max="14821" width="4" style="3" customWidth="1"/>
    <col min="14822" max="14822" width="4.7109375" style="3" customWidth="1"/>
    <col min="14823" max="14836" width="5.140625" style="3" customWidth="1"/>
    <col min="14837" max="14839" width="9.42578125" style="3" customWidth="1"/>
    <col min="14840" max="14840" width="5.5703125" style="3" customWidth="1"/>
    <col min="14841" max="14841" width="5.85546875" style="3" customWidth="1"/>
    <col min="14842" max="14842" width="10" style="3" customWidth="1"/>
    <col min="14843" max="15044" width="9.140625" style="3"/>
    <col min="15045" max="15045" width="3.85546875" style="3" customWidth="1"/>
    <col min="15046" max="15046" width="5.28515625" style="3" customWidth="1"/>
    <col min="15047" max="15047" width="5" style="3" customWidth="1"/>
    <col min="15048" max="15048" width="13.85546875" style="3" customWidth="1"/>
    <col min="15049" max="15049" width="6" style="3" customWidth="1"/>
    <col min="15050" max="15050" width="2.85546875" style="3" customWidth="1"/>
    <col min="15051" max="15051" width="5.140625" style="3" customWidth="1"/>
    <col min="15052" max="15052" width="8.7109375" style="3" customWidth="1"/>
    <col min="15053" max="15053" width="4.28515625" style="3" customWidth="1"/>
    <col min="15054" max="15054" width="8.85546875" style="3" customWidth="1"/>
    <col min="15055" max="15055" width="6.5703125" style="3" customWidth="1"/>
    <col min="15056" max="15056" width="9" style="3" customWidth="1"/>
    <col min="15057" max="15057" width="17.5703125" style="3" customWidth="1"/>
    <col min="15058" max="15058" width="22.85546875" style="3" customWidth="1"/>
    <col min="15059" max="15059" width="27.42578125" style="3" customWidth="1"/>
    <col min="15060" max="15060" width="8.5703125" style="3" customWidth="1"/>
    <col min="15061" max="15062" width="8.42578125" style="3" customWidth="1"/>
    <col min="15063" max="15063" width="8.7109375" style="3" customWidth="1"/>
    <col min="15064" max="15064" width="8.42578125" style="3" customWidth="1"/>
    <col min="15065" max="15065" width="4.5703125" style="3" customWidth="1"/>
    <col min="15066" max="15066" width="5" style="3" customWidth="1"/>
    <col min="15067" max="15067" width="7" style="3" customWidth="1"/>
    <col min="15068" max="15068" width="5.5703125" style="3" customWidth="1"/>
    <col min="15069" max="15069" width="8.42578125" style="3" customWidth="1"/>
    <col min="15070" max="15071" width="5.140625" style="3" customWidth="1"/>
    <col min="15072" max="15072" width="6.5703125" style="3" customWidth="1"/>
    <col min="15073" max="15073" width="5" style="3" customWidth="1"/>
    <col min="15074" max="15074" width="4.5703125" style="3" customWidth="1"/>
    <col min="15075" max="15075" width="5.7109375" style="3" customWidth="1"/>
    <col min="15076" max="15076" width="4.85546875" style="3" customWidth="1"/>
    <col min="15077" max="15077" width="4" style="3" customWidth="1"/>
    <col min="15078" max="15078" width="4.7109375" style="3" customWidth="1"/>
    <col min="15079" max="15092" width="5.140625" style="3" customWidth="1"/>
    <col min="15093" max="15095" width="9.42578125" style="3" customWidth="1"/>
    <col min="15096" max="15096" width="5.5703125" style="3" customWidth="1"/>
    <col min="15097" max="15097" width="5.85546875" style="3" customWidth="1"/>
    <col min="15098" max="15098" width="10" style="3" customWidth="1"/>
    <col min="15099" max="15300" width="9.140625" style="3"/>
    <col min="15301" max="15301" width="3.85546875" style="3" customWidth="1"/>
    <col min="15302" max="15302" width="5.28515625" style="3" customWidth="1"/>
    <col min="15303" max="15303" width="5" style="3" customWidth="1"/>
    <col min="15304" max="15304" width="13.85546875" style="3" customWidth="1"/>
    <col min="15305" max="15305" width="6" style="3" customWidth="1"/>
    <col min="15306" max="15306" width="2.85546875" style="3" customWidth="1"/>
    <col min="15307" max="15307" width="5.140625" style="3" customWidth="1"/>
    <col min="15308" max="15308" width="8.7109375" style="3" customWidth="1"/>
    <col min="15309" max="15309" width="4.28515625" style="3" customWidth="1"/>
    <col min="15310" max="15310" width="8.85546875" style="3" customWidth="1"/>
    <col min="15311" max="15311" width="6.5703125" style="3" customWidth="1"/>
    <col min="15312" max="15312" width="9" style="3" customWidth="1"/>
    <col min="15313" max="15313" width="17.5703125" style="3" customWidth="1"/>
    <col min="15314" max="15314" width="22.85546875" style="3" customWidth="1"/>
    <col min="15315" max="15315" width="27.42578125" style="3" customWidth="1"/>
    <col min="15316" max="15316" width="8.5703125" style="3" customWidth="1"/>
    <col min="15317" max="15318" width="8.42578125" style="3" customWidth="1"/>
    <col min="15319" max="15319" width="8.7109375" style="3" customWidth="1"/>
    <col min="15320" max="15320" width="8.42578125" style="3" customWidth="1"/>
    <col min="15321" max="15321" width="4.5703125" style="3" customWidth="1"/>
    <col min="15322" max="15322" width="5" style="3" customWidth="1"/>
    <col min="15323" max="15323" width="7" style="3" customWidth="1"/>
    <col min="15324" max="15324" width="5.5703125" style="3" customWidth="1"/>
    <col min="15325" max="15325" width="8.42578125" style="3" customWidth="1"/>
    <col min="15326" max="15327" width="5.140625" style="3" customWidth="1"/>
    <col min="15328" max="15328" width="6.5703125" style="3" customWidth="1"/>
    <col min="15329" max="15329" width="5" style="3" customWidth="1"/>
    <col min="15330" max="15330" width="4.5703125" style="3" customWidth="1"/>
    <col min="15331" max="15331" width="5.7109375" style="3" customWidth="1"/>
    <col min="15332" max="15332" width="4.85546875" style="3" customWidth="1"/>
    <col min="15333" max="15333" width="4" style="3" customWidth="1"/>
    <col min="15334" max="15334" width="4.7109375" style="3" customWidth="1"/>
    <col min="15335" max="15348" width="5.140625" style="3" customWidth="1"/>
    <col min="15349" max="15351" width="9.42578125" style="3" customWidth="1"/>
    <col min="15352" max="15352" width="5.5703125" style="3" customWidth="1"/>
    <col min="15353" max="15353" width="5.85546875" style="3" customWidth="1"/>
    <col min="15354" max="15354" width="10" style="3" customWidth="1"/>
    <col min="15355" max="15556" width="9.140625" style="3"/>
    <col min="15557" max="15557" width="3.85546875" style="3" customWidth="1"/>
    <col min="15558" max="15558" width="5.28515625" style="3" customWidth="1"/>
    <col min="15559" max="15559" width="5" style="3" customWidth="1"/>
    <col min="15560" max="15560" width="13.85546875" style="3" customWidth="1"/>
    <col min="15561" max="15561" width="6" style="3" customWidth="1"/>
    <col min="15562" max="15562" width="2.85546875" style="3" customWidth="1"/>
    <col min="15563" max="15563" width="5.140625" style="3" customWidth="1"/>
    <col min="15564" max="15564" width="8.7109375" style="3" customWidth="1"/>
    <col min="15565" max="15565" width="4.28515625" style="3" customWidth="1"/>
    <col min="15566" max="15566" width="8.85546875" style="3" customWidth="1"/>
    <col min="15567" max="15567" width="6.5703125" style="3" customWidth="1"/>
    <col min="15568" max="15568" width="9" style="3" customWidth="1"/>
    <col min="15569" max="15569" width="17.5703125" style="3" customWidth="1"/>
    <col min="15570" max="15570" width="22.85546875" style="3" customWidth="1"/>
    <col min="15571" max="15571" width="27.42578125" style="3" customWidth="1"/>
    <col min="15572" max="15572" width="8.5703125" style="3" customWidth="1"/>
    <col min="15573" max="15574" width="8.42578125" style="3" customWidth="1"/>
    <col min="15575" max="15575" width="8.7109375" style="3" customWidth="1"/>
    <col min="15576" max="15576" width="8.42578125" style="3" customWidth="1"/>
    <col min="15577" max="15577" width="4.5703125" style="3" customWidth="1"/>
    <col min="15578" max="15578" width="5" style="3" customWidth="1"/>
    <col min="15579" max="15579" width="7" style="3" customWidth="1"/>
    <col min="15580" max="15580" width="5.5703125" style="3" customWidth="1"/>
    <col min="15581" max="15581" width="8.42578125" style="3" customWidth="1"/>
    <col min="15582" max="15583" width="5.140625" style="3" customWidth="1"/>
    <col min="15584" max="15584" width="6.5703125" style="3" customWidth="1"/>
    <col min="15585" max="15585" width="5" style="3" customWidth="1"/>
    <col min="15586" max="15586" width="4.5703125" style="3" customWidth="1"/>
    <col min="15587" max="15587" width="5.7109375" style="3" customWidth="1"/>
    <col min="15588" max="15588" width="4.85546875" style="3" customWidth="1"/>
    <col min="15589" max="15589" width="4" style="3" customWidth="1"/>
    <col min="15590" max="15590" width="4.7109375" style="3" customWidth="1"/>
    <col min="15591" max="15604" width="5.140625" style="3" customWidth="1"/>
    <col min="15605" max="15607" width="9.42578125" style="3" customWidth="1"/>
    <col min="15608" max="15608" width="5.5703125" style="3" customWidth="1"/>
    <col min="15609" max="15609" width="5.85546875" style="3" customWidth="1"/>
    <col min="15610" max="15610" width="10" style="3" customWidth="1"/>
    <col min="15611" max="15812" width="9.140625" style="3"/>
    <col min="15813" max="15813" width="3.85546875" style="3" customWidth="1"/>
    <col min="15814" max="15814" width="5.28515625" style="3" customWidth="1"/>
    <col min="15815" max="15815" width="5" style="3" customWidth="1"/>
    <col min="15816" max="15816" width="13.85546875" style="3" customWidth="1"/>
    <col min="15817" max="15817" width="6" style="3" customWidth="1"/>
    <col min="15818" max="15818" width="2.85546875" style="3" customWidth="1"/>
    <col min="15819" max="15819" width="5.140625" style="3" customWidth="1"/>
    <col min="15820" max="15820" width="8.7109375" style="3" customWidth="1"/>
    <col min="15821" max="15821" width="4.28515625" style="3" customWidth="1"/>
    <col min="15822" max="15822" width="8.85546875" style="3" customWidth="1"/>
    <col min="15823" max="15823" width="6.5703125" style="3" customWidth="1"/>
    <col min="15824" max="15824" width="9" style="3" customWidth="1"/>
    <col min="15825" max="15825" width="17.5703125" style="3" customWidth="1"/>
    <col min="15826" max="15826" width="22.85546875" style="3" customWidth="1"/>
    <col min="15827" max="15827" width="27.42578125" style="3" customWidth="1"/>
    <col min="15828" max="15828" width="8.5703125" style="3" customWidth="1"/>
    <col min="15829" max="15830" width="8.42578125" style="3" customWidth="1"/>
    <col min="15831" max="15831" width="8.7109375" style="3" customWidth="1"/>
    <col min="15832" max="15832" width="8.42578125" style="3" customWidth="1"/>
    <col min="15833" max="15833" width="4.5703125" style="3" customWidth="1"/>
    <col min="15834" max="15834" width="5" style="3" customWidth="1"/>
    <col min="15835" max="15835" width="7" style="3" customWidth="1"/>
    <col min="15836" max="15836" width="5.5703125" style="3" customWidth="1"/>
    <col min="15837" max="15837" width="8.42578125" style="3" customWidth="1"/>
    <col min="15838" max="15839" width="5.140625" style="3" customWidth="1"/>
    <col min="15840" max="15840" width="6.5703125" style="3" customWidth="1"/>
    <col min="15841" max="15841" width="5" style="3" customWidth="1"/>
    <col min="15842" max="15842" width="4.5703125" style="3" customWidth="1"/>
    <col min="15843" max="15843" width="5.7109375" style="3" customWidth="1"/>
    <col min="15844" max="15844" width="4.85546875" style="3" customWidth="1"/>
    <col min="15845" max="15845" width="4" style="3" customWidth="1"/>
    <col min="15846" max="15846" width="4.7109375" style="3" customWidth="1"/>
    <col min="15847" max="15860" width="5.140625" style="3" customWidth="1"/>
    <col min="15861" max="15863" width="9.42578125" style="3" customWidth="1"/>
    <col min="15864" max="15864" width="5.5703125" style="3" customWidth="1"/>
    <col min="15865" max="15865" width="5.85546875" style="3" customWidth="1"/>
    <col min="15866" max="15866" width="10" style="3" customWidth="1"/>
    <col min="15867" max="16068" width="9.140625" style="3"/>
    <col min="16069" max="16069" width="3.85546875" style="3" customWidth="1"/>
    <col min="16070" max="16070" width="5.28515625" style="3" customWidth="1"/>
    <col min="16071" max="16071" width="5" style="3" customWidth="1"/>
    <col min="16072" max="16072" width="13.85546875" style="3" customWidth="1"/>
    <col min="16073" max="16073" width="6" style="3" customWidth="1"/>
    <col min="16074" max="16074" width="2.85546875" style="3" customWidth="1"/>
    <col min="16075" max="16075" width="5.140625" style="3" customWidth="1"/>
    <col min="16076" max="16076" width="8.7109375" style="3" customWidth="1"/>
    <col min="16077" max="16077" width="4.28515625" style="3" customWidth="1"/>
    <col min="16078" max="16078" width="8.85546875" style="3" customWidth="1"/>
    <col min="16079" max="16079" width="6.5703125" style="3" customWidth="1"/>
    <col min="16080" max="16080" width="9" style="3" customWidth="1"/>
    <col min="16081" max="16081" width="17.5703125" style="3" customWidth="1"/>
    <col min="16082" max="16082" width="22.85546875" style="3" customWidth="1"/>
    <col min="16083" max="16083" width="27.42578125" style="3" customWidth="1"/>
    <col min="16084" max="16084" width="8.5703125" style="3" customWidth="1"/>
    <col min="16085" max="16086" width="8.42578125" style="3" customWidth="1"/>
    <col min="16087" max="16087" width="8.7109375" style="3" customWidth="1"/>
    <col min="16088" max="16088" width="8.42578125" style="3" customWidth="1"/>
    <col min="16089" max="16089" width="4.5703125" style="3" customWidth="1"/>
    <col min="16090" max="16090" width="5" style="3" customWidth="1"/>
    <col min="16091" max="16091" width="7" style="3" customWidth="1"/>
    <col min="16092" max="16092" width="5.5703125" style="3" customWidth="1"/>
    <col min="16093" max="16093" width="8.42578125" style="3" customWidth="1"/>
    <col min="16094" max="16095" width="5.140625" style="3" customWidth="1"/>
    <col min="16096" max="16096" width="6.5703125" style="3" customWidth="1"/>
    <col min="16097" max="16097" width="5" style="3" customWidth="1"/>
    <col min="16098" max="16098" width="4.5703125" style="3" customWidth="1"/>
    <col min="16099" max="16099" width="5.7109375" style="3" customWidth="1"/>
    <col min="16100" max="16100" width="4.85546875" style="3" customWidth="1"/>
    <col min="16101" max="16101" width="4" style="3" customWidth="1"/>
    <col min="16102" max="16102" width="4.7109375" style="3" customWidth="1"/>
    <col min="16103" max="16116" width="5.140625" style="3" customWidth="1"/>
    <col min="16117" max="16119" width="9.42578125" style="3" customWidth="1"/>
    <col min="16120" max="16120" width="5.5703125" style="3" customWidth="1"/>
    <col min="16121" max="16121" width="5.85546875" style="3" customWidth="1"/>
    <col min="16122" max="16122" width="10" style="3" customWidth="1"/>
    <col min="16123" max="16384" width="9.140625" style="3"/>
  </cols>
  <sheetData>
    <row r="1" spans="1:21" ht="18.75" x14ac:dyDescent="0.3">
      <c r="F1" s="697">
        <f ca="1">NOW()</f>
        <v>43990.388564120367</v>
      </c>
      <c r="H1" s="665" t="str">
        <f ca="1">"tháng "&amp;MONTH(F1)</f>
        <v>tháng 6</v>
      </c>
      <c r="I1" s="676" t="str">
        <f ca="1">"năm "&amp;YEAR(F1)</f>
        <v>năm 2020</v>
      </c>
    </row>
    <row r="3" spans="1:21" ht="34.5" customHeight="1" x14ac:dyDescent="0.35">
      <c r="A3" s="788" t="s">
        <v>633</v>
      </c>
      <c r="B3" s="789"/>
      <c r="C3" s="789"/>
      <c r="D3" s="789"/>
      <c r="H3" s="790" t="s">
        <v>1017</v>
      </c>
      <c r="I3" s="790"/>
      <c r="J3" s="790"/>
      <c r="K3" s="790"/>
      <c r="L3" s="790"/>
      <c r="M3" s="790"/>
      <c r="N3" s="790"/>
      <c r="O3" s="790"/>
      <c r="P3" s="790"/>
      <c r="Q3" s="790"/>
      <c r="R3" s="1">
        <f ca="1">TODAY()</f>
        <v>43990</v>
      </c>
      <c r="S3" s="677">
        <f ca="1">YEAR(R3)</f>
        <v>2020</v>
      </c>
      <c r="T3" s="678"/>
    </row>
    <row r="4" spans="1:21" ht="7.5" customHeight="1" x14ac:dyDescent="0.35">
      <c r="A4" s="85"/>
      <c r="B4" s="86"/>
      <c r="C4" s="243"/>
      <c r="D4" s="86"/>
      <c r="H4" s="87"/>
      <c r="I4" s="679"/>
      <c r="J4" s="679"/>
      <c r="K4" s="679"/>
      <c r="L4" s="679"/>
      <c r="M4" s="679"/>
      <c r="N4" s="679"/>
      <c r="O4" s="679"/>
      <c r="P4" s="679"/>
      <c r="Q4" s="679"/>
      <c r="R4" s="678"/>
      <c r="S4" s="678"/>
      <c r="T4" s="678"/>
    </row>
    <row r="5" spans="1:21" s="6" customFormat="1" ht="25.5" x14ac:dyDescent="0.25">
      <c r="A5" s="793" t="s">
        <v>0</v>
      </c>
      <c r="B5" s="794" t="s">
        <v>2</v>
      </c>
      <c r="C5" s="798" t="s">
        <v>3</v>
      </c>
      <c r="D5" s="795" t="s">
        <v>42</v>
      </c>
      <c r="E5" s="795" t="s">
        <v>22</v>
      </c>
      <c r="F5" s="796" t="s">
        <v>49</v>
      </c>
      <c r="G5" s="680" t="s">
        <v>45</v>
      </c>
      <c r="H5" s="681" t="s">
        <v>46</v>
      </c>
      <c r="I5" s="785" t="s">
        <v>50</v>
      </c>
      <c r="J5" s="786"/>
      <c r="K5" s="786"/>
      <c r="L5" s="786"/>
      <c r="M5" s="786"/>
      <c r="N5" s="786"/>
      <c r="O5" s="786"/>
      <c r="P5" s="786"/>
      <c r="Q5" s="786"/>
      <c r="R5" s="786"/>
      <c r="S5" s="786"/>
      <c r="T5" s="787"/>
    </row>
    <row r="6" spans="1:21" s="6" customFormat="1" ht="35.25" customHeight="1" x14ac:dyDescent="0.25">
      <c r="A6" s="793"/>
      <c r="B6" s="794"/>
      <c r="C6" s="799"/>
      <c r="D6" s="795"/>
      <c r="E6" s="795"/>
      <c r="F6" s="797"/>
      <c r="G6" s="682">
        <v>43831</v>
      </c>
      <c r="H6" s="682">
        <v>43831</v>
      </c>
      <c r="I6" s="682">
        <v>43831</v>
      </c>
      <c r="J6" s="682">
        <v>43862</v>
      </c>
      <c r="K6" s="682">
        <v>43891</v>
      </c>
      <c r="L6" s="682">
        <v>43922</v>
      </c>
      <c r="M6" s="682">
        <v>43952</v>
      </c>
      <c r="N6" s="682">
        <v>43983</v>
      </c>
      <c r="O6" s="682">
        <v>44013</v>
      </c>
      <c r="P6" s="682">
        <v>44044</v>
      </c>
      <c r="Q6" s="682">
        <v>44075</v>
      </c>
      <c r="R6" s="682">
        <v>44105</v>
      </c>
      <c r="S6" s="682">
        <v>44136</v>
      </c>
      <c r="T6" s="682">
        <v>44166</v>
      </c>
      <c r="U6" s="6" t="s">
        <v>1231</v>
      </c>
    </row>
    <row r="7" spans="1:21" s="6" customFormat="1" ht="15" hidden="1" customHeight="1" x14ac:dyDescent="0.25">
      <c r="A7" s="412"/>
      <c r="B7" s="413" t="s">
        <v>522</v>
      </c>
      <c r="C7" s="416"/>
      <c r="D7" s="414"/>
      <c r="E7" s="414"/>
      <c r="F7" s="415"/>
      <c r="G7" s="114"/>
      <c r="H7" s="114"/>
      <c r="I7" s="114"/>
      <c r="J7" s="667"/>
      <c r="K7" s="114"/>
      <c r="L7" s="667"/>
      <c r="M7" s="114"/>
      <c r="N7" s="667"/>
      <c r="O7" s="114"/>
      <c r="P7" s="667"/>
      <c r="Q7" s="114"/>
      <c r="R7" s="667"/>
      <c r="S7" s="114"/>
      <c r="T7" s="667"/>
    </row>
    <row r="8" spans="1:21" s="6" customFormat="1" ht="11.25" hidden="1" customHeight="1" x14ac:dyDescent="0.25">
      <c r="A8" s="461">
        <f>IF(B8=0,0,1)</f>
        <v>1</v>
      </c>
      <c r="B8" s="462" t="str">
        <f>NSTonghop!F8</f>
        <v>Lê Thị Nhung</v>
      </c>
      <c r="C8" s="462" t="str">
        <f>NSTonghop!G8</f>
        <v>x</v>
      </c>
      <c r="D8" s="463" t="str">
        <f>IF(C8=0,NSTonghop!H8,NSTonghop!I8)</f>
        <v>25/12/1983</v>
      </c>
      <c r="E8" s="464" t="str">
        <f>NSTonghop!AN8</f>
        <v>01/04/2006</v>
      </c>
      <c r="F8" s="465" t="str">
        <f>E8</f>
        <v>01/04/2006</v>
      </c>
      <c r="G8" s="466">
        <f t="shared" ref="G8:G9" si="0">IF(OR(B8="",B8=0),"",DATEDIF($F8,$G$6,"y"))</f>
        <v>13</v>
      </c>
      <c r="H8" s="467">
        <f t="shared" ref="H8:H9" si="1">IF(OR(B8="",B8=0),"",DATEDIF($F8,$H$6,"m")-$G8*12)</f>
        <v>9</v>
      </c>
      <c r="I8" s="114"/>
      <c r="J8" s="667"/>
      <c r="K8" s="114"/>
      <c r="L8" s="667"/>
      <c r="M8" s="114"/>
      <c r="N8" s="667"/>
      <c r="O8" s="114"/>
      <c r="P8" s="667"/>
      <c r="Q8" s="114"/>
      <c r="R8" s="667"/>
      <c r="S8" s="114"/>
      <c r="T8" s="667"/>
    </row>
    <row r="9" spans="1:21" s="6" customFormat="1" ht="11.25" hidden="1" customHeight="1" x14ac:dyDescent="0.25">
      <c r="A9" s="461">
        <f>IF(B9=0,0,MAX($A$8:A8)+1)</f>
        <v>2</v>
      </c>
      <c r="B9" s="462" t="str">
        <f>NSTonghop!F9</f>
        <v>Lê Thị Bích Thy</v>
      </c>
      <c r="C9" s="462" t="str">
        <f>NSTonghop!G9</f>
        <v>x</v>
      </c>
      <c r="D9" s="463" t="str">
        <f>IF(C9=0,NSTonghop!H9,NSTonghop!I9)</f>
        <v>04/07/1967</v>
      </c>
      <c r="E9" s="464" t="str">
        <f>NSTonghop!AN9</f>
        <v>01/08/1996</v>
      </c>
      <c r="F9" s="465" t="str">
        <f t="shared" ref="F9" si="2">E9</f>
        <v>01/08/1996</v>
      </c>
      <c r="G9" s="466">
        <f t="shared" si="0"/>
        <v>23</v>
      </c>
      <c r="H9" s="467">
        <f t="shared" si="1"/>
        <v>5</v>
      </c>
      <c r="I9" s="114"/>
      <c r="J9" s="667"/>
      <c r="K9" s="114"/>
      <c r="L9" s="667"/>
      <c r="M9" s="114"/>
      <c r="N9" s="667"/>
      <c r="O9" s="114"/>
      <c r="P9" s="667"/>
      <c r="Q9" s="114"/>
      <c r="R9" s="667"/>
      <c r="S9" s="114"/>
      <c r="T9" s="667"/>
    </row>
    <row r="10" spans="1:21" s="6" customFormat="1" ht="11.25" hidden="1" customHeight="1" x14ac:dyDescent="0.25">
      <c r="A10" s="461">
        <f>IF(B10=0,0,MAX($A$8:A9)+1)</f>
        <v>3</v>
      </c>
      <c r="B10" s="462" t="str">
        <f>NSTonghop!F10</f>
        <v>Phạm Thị Ngọc Thủy</v>
      </c>
      <c r="C10" s="462" t="str">
        <f>NSTonghop!G10</f>
        <v>x</v>
      </c>
      <c r="D10" s="463" t="str">
        <f>IF(C10=0,NSTonghop!H10,NSTonghop!I10)</f>
        <v>16/10/1976</v>
      </c>
      <c r="E10" s="464" t="str">
        <f>NSTonghop!AN10</f>
        <v>không</v>
      </c>
      <c r="F10" s="465" t="str">
        <f t="shared" ref="F10:F15" si="3">E10</f>
        <v>không</v>
      </c>
      <c r="G10" s="466" t="e">
        <f t="shared" ref="G10:G15" si="4">IF(OR(B10="",B10=0),"",DATEDIF($F10,$G$6,"y"))</f>
        <v>#VALUE!</v>
      </c>
      <c r="H10" s="467" t="e">
        <f t="shared" ref="H10:H15" si="5">IF(OR(B10="",B10=0),"",DATEDIF($F10,$H$6,"m")-$G10*12)</f>
        <v>#VALUE!</v>
      </c>
      <c r="I10" s="114"/>
      <c r="J10" s="667"/>
      <c r="K10" s="114"/>
      <c r="L10" s="667"/>
      <c r="M10" s="114"/>
      <c r="N10" s="667"/>
      <c r="O10" s="114"/>
      <c r="P10" s="667"/>
      <c r="Q10" s="114"/>
      <c r="R10" s="667"/>
      <c r="S10" s="114"/>
      <c r="T10" s="667"/>
    </row>
    <row r="11" spans="1:21" s="6" customFormat="1" ht="11.25" hidden="1" customHeight="1" x14ac:dyDescent="0.25">
      <c r="A11" s="461">
        <f>IF(B11=0,0,MAX($A$8:A10)+1)</f>
        <v>4</v>
      </c>
      <c r="B11" s="462" t="str">
        <f>NSTonghop!F11</f>
        <v>Bùi Phú Lộc</v>
      </c>
      <c r="C11" s="462">
        <f>NSTonghop!G11</f>
        <v>0</v>
      </c>
      <c r="D11" s="463" t="str">
        <f>IF(C11=0,NSTonghop!H11,NSTonghop!I11)</f>
        <v>28/12/1988</v>
      </c>
      <c r="E11" s="464" t="str">
        <f>NSTonghop!AN11</f>
        <v>01/09/2015</v>
      </c>
      <c r="F11" s="465" t="str">
        <f t="shared" si="3"/>
        <v>01/09/2015</v>
      </c>
      <c r="G11" s="466">
        <f t="shared" si="4"/>
        <v>4</v>
      </c>
      <c r="H11" s="467">
        <f t="shared" si="5"/>
        <v>4</v>
      </c>
      <c r="I11" s="114"/>
      <c r="J11" s="667"/>
      <c r="K11" s="114"/>
      <c r="L11" s="667"/>
      <c r="M11" s="114"/>
      <c r="N11" s="667"/>
      <c r="O11" s="114"/>
      <c r="P11" s="667"/>
      <c r="Q11" s="114"/>
      <c r="R11" s="667"/>
      <c r="S11" s="114"/>
      <c r="T11" s="667"/>
    </row>
    <row r="12" spans="1:21" s="6" customFormat="1" ht="11.25" hidden="1" customHeight="1" x14ac:dyDescent="0.25">
      <c r="A12" s="461">
        <f>IF(B12=0,0,MAX($A$8:A11)+1)</f>
        <v>5</v>
      </c>
      <c r="B12" s="462" t="str">
        <f>NSTonghop!F12</f>
        <v>Nguyễn Thị Định</v>
      </c>
      <c r="C12" s="462" t="str">
        <f>NSTonghop!G12</f>
        <v>x</v>
      </c>
      <c r="D12" s="463" t="str">
        <f>IF(C12=0,NSTonghop!H12,NSTonghop!I12)</f>
        <v>10/10/1984</v>
      </c>
      <c r="E12" s="464" t="str">
        <f>NSTonghop!AN12</f>
        <v>01/03/2009</v>
      </c>
      <c r="F12" s="465" t="str">
        <f t="shared" si="3"/>
        <v>01/03/2009</v>
      </c>
      <c r="G12" s="466">
        <f t="shared" si="4"/>
        <v>10</v>
      </c>
      <c r="H12" s="467">
        <f t="shared" si="5"/>
        <v>10</v>
      </c>
      <c r="I12" s="114"/>
      <c r="J12" s="667"/>
      <c r="K12" s="114"/>
      <c r="L12" s="667"/>
      <c r="M12" s="114"/>
      <c r="N12" s="667"/>
      <c r="O12" s="114"/>
      <c r="P12" s="667"/>
      <c r="Q12" s="114"/>
      <c r="R12" s="667"/>
      <c r="S12" s="114"/>
      <c r="T12" s="667"/>
    </row>
    <row r="13" spans="1:21" s="6" customFormat="1" ht="11.25" hidden="1" customHeight="1" x14ac:dyDescent="0.25">
      <c r="A13" s="461">
        <f>IF(B13=0,0,MAX($A$8:A12)+1)</f>
        <v>6</v>
      </c>
      <c r="B13" s="462" t="str">
        <f>NSTonghop!F13</f>
        <v>Trương Ngọc Phương</v>
      </c>
      <c r="C13" s="462">
        <f>NSTonghop!G13</f>
        <v>0</v>
      </c>
      <c r="D13" s="463" t="str">
        <f>IF(C13=0,NSTonghop!H13,NSTonghop!I13)</f>
        <v>28/08/1966</v>
      </c>
      <c r="E13" s="464" t="str">
        <f>NSTonghop!AN13</f>
        <v>01/08/1996</v>
      </c>
      <c r="F13" s="465" t="str">
        <f t="shared" si="3"/>
        <v>01/08/1996</v>
      </c>
      <c r="G13" s="466">
        <f t="shared" si="4"/>
        <v>23</v>
      </c>
      <c r="H13" s="467">
        <f t="shared" si="5"/>
        <v>5</v>
      </c>
      <c r="I13" s="114"/>
      <c r="J13" s="667"/>
      <c r="K13" s="114"/>
      <c r="L13" s="667"/>
      <c r="M13" s="114"/>
      <c r="N13" s="667"/>
      <c r="O13" s="114"/>
      <c r="P13" s="667"/>
      <c r="Q13" s="114"/>
      <c r="R13" s="667"/>
      <c r="S13" s="114"/>
      <c r="T13" s="667"/>
    </row>
    <row r="14" spans="1:21" s="6" customFormat="1" ht="11.25" hidden="1" customHeight="1" x14ac:dyDescent="0.25">
      <c r="A14" s="461">
        <f>IF(B14=0,0,MAX($A$8:A13)+1)</f>
        <v>7</v>
      </c>
      <c r="B14" s="462" t="str">
        <f>NSTonghop!F14</f>
        <v>Lê Văn Thắng</v>
      </c>
      <c r="C14" s="462">
        <f>NSTonghop!G14</f>
        <v>0</v>
      </c>
      <c r="D14" s="463" t="str">
        <f>IF(C14=0,NSTonghop!H14,NSTonghop!I14)</f>
        <v>19/04/1969</v>
      </c>
      <c r="E14" s="464" t="str">
        <f>NSTonghop!AN14</f>
        <v>không</v>
      </c>
      <c r="F14" s="465" t="str">
        <f t="shared" si="3"/>
        <v>không</v>
      </c>
      <c r="G14" s="466" t="e">
        <f t="shared" si="4"/>
        <v>#VALUE!</v>
      </c>
      <c r="H14" s="467" t="e">
        <f t="shared" si="5"/>
        <v>#VALUE!</v>
      </c>
      <c r="I14" s="114"/>
      <c r="J14" s="667"/>
      <c r="K14" s="114"/>
      <c r="L14" s="667"/>
      <c r="M14" s="114"/>
      <c r="N14" s="667"/>
      <c r="O14" s="114"/>
      <c r="P14" s="667"/>
      <c r="Q14" s="114"/>
      <c r="R14" s="667"/>
      <c r="S14" s="114"/>
      <c r="T14" s="667"/>
    </row>
    <row r="15" spans="1:21" s="7" customFormat="1" ht="13.5" customHeight="1" x14ac:dyDescent="0.25">
      <c r="A15" s="296">
        <f>IF(B15=0,0,MAX($A$8:A14)+1)</f>
        <v>8</v>
      </c>
      <c r="B15" s="297" t="str">
        <f>NSTonghop!F15</f>
        <v>Nguyễn Thanh Hùng</v>
      </c>
      <c r="C15" s="297">
        <f>NSTonghop!G15</f>
        <v>0</v>
      </c>
      <c r="D15" s="298" t="str">
        <f>IF(C15=0,NSTonghop!H15,NSTonghop!I15)</f>
        <v>29/12/1967</v>
      </c>
      <c r="E15" s="302" t="str">
        <f>NSTonghop!AN15</f>
        <v>01/01/1990</v>
      </c>
      <c r="F15" s="299" t="str">
        <f t="shared" si="3"/>
        <v>01/01/1990</v>
      </c>
      <c r="G15" s="300">
        <f t="shared" si="4"/>
        <v>30</v>
      </c>
      <c r="H15" s="301">
        <f t="shared" si="5"/>
        <v>0</v>
      </c>
      <c r="I15" s="668">
        <f t="shared" ref="I15:I46" si="6">IF(OR(B15="",B15=0),"",IF($H15=0,$G15,IF(AND(DATEDIF($F15,I$6,"m")-$G15*12=12,$G15&gt;=4),$G15+1,"")))</f>
        <v>30</v>
      </c>
      <c r="J15" s="668" t="str">
        <f t="shared" ref="J15:J46" si="7">IF(OR(B15="",B15=0),"",IF(AND(DATEDIF($F15,J$6,"m")-$G15*12=12,$G15&gt;=4),$G15+1,""))</f>
        <v/>
      </c>
      <c r="K15" s="668" t="str">
        <f t="shared" ref="K15:K46" si="8">IF(OR(B15="",B15=0),"",IF(AND(DATEDIF($F15,K$6,"m")-$G15*12=12,$G15&gt;=4),$G15+1,""))</f>
        <v/>
      </c>
      <c r="L15" s="668" t="str">
        <f t="shared" ref="L15:L46" si="9">IF(OR(B15="",B15=0),"",IF(AND(DATEDIF($F15,L$6,"m")-$G15*12=12,$G15&gt;=4),$G15+1,""))</f>
        <v/>
      </c>
      <c r="M15" s="668" t="str">
        <f t="shared" ref="M15:M46" si="10">IF(OR(B15="",B15=0),"",IF(AND(DATEDIF($F15,M$6,"m")-$G15*12=12,$G15&gt;=4),$G15+1,""))</f>
        <v/>
      </c>
      <c r="N15" s="668" t="str">
        <f t="shared" ref="N15:N46" si="11">IF(OR(B15="",B15=0),"",IF(AND(DATEDIF($F15,N$6,"m")-$G15*12=12,$G15&gt;=4),$G15+1,""))</f>
        <v/>
      </c>
      <c r="O15" s="668" t="str">
        <f t="shared" ref="O15:O46" si="12">IF(OR(B15="",B15=0),"",IF(AND(DATEDIF($F15,O$6,"m")-$G15*12=12,$G15&gt;=4),$G15+1,""))</f>
        <v/>
      </c>
      <c r="P15" s="668" t="str">
        <f t="shared" ref="P15:P46" si="13">IF(OR(B15="",B15=0),"",IF(AND(DATEDIF($F15,P$6,"m")-$G15*12=12,$G15&gt;=4),$G15+1,""))</f>
        <v/>
      </c>
      <c r="Q15" s="668" t="str">
        <f t="shared" ref="Q15:Q46" si="14">IF(OR(B15="",B15=0),"",IF(AND(DATEDIF($F15,Q$6,"m")-$G15*12=12,$G15&gt;=4),$G15+1,""))</f>
        <v/>
      </c>
      <c r="R15" s="668" t="str">
        <f t="shared" ref="R15:R46" si="15">IF(OR(B15="",B15=0),"",IF(AND(DATEDIF($F15,R$6,"m")-$G15*12=12,$G15&gt;=4),$G15+1,""))</f>
        <v/>
      </c>
      <c r="S15" s="668" t="str">
        <f t="shared" ref="S15:S46" si="16">IF(OR(B15="",B15=0),"",IF(AND(DATEDIF($F15,S$6,"m")-$G15*12=12,$G15&gt;=4),$G15+1,""))</f>
        <v/>
      </c>
      <c r="T15" s="668" t="str">
        <f t="shared" ref="T15:T46" si="17">IF(OR(B15="",B15=0),"",IF(AND(DATEDIF($F15,T$6,"m")-$G15*12=12,$G15&gt;=4),$G15+1,""))</f>
        <v/>
      </c>
    </row>
    <row r="16" spans="1:21" s="7" customFormat="1" ht="13.5" customHeight="1" x14ac:dyDescent="0.25">
      <c r="A16" s="296">
        <f>IF(B16=0,0,MAX($A$8:A15)+1)</f>
        <v>9</v>
      </c>
      <c r="B16" s="297" t="str">
        <f>NSTonghop!F16</f>
        <v>Võ Minh Triết</v>
      </c>
      <c r="C16" s="297">
        <f>NSTonghop!G16</f>
        <v>0</v>
      </c>
      <c r="D16" s="298" t="str">
        <f>IF(C16=0,NSTonghop!H16,NSTonghop!I16)</f>
        <v>08/07/1968</v>
      </c>
      <c r="E16" s="302" t="str">
        <f>NSTonghop!AN16</f>
        <v>01/10/1991</v>
      </c>
      <c r="F16" s="299" t="str">
        <f t="shared" ref="F16:F24" si="18">E16</f>
        <v>01/10/1991</v>
      </c>
      <c r="G16" s="300">
        <f t="shared" ref="G16:G46" si="19">IF(OR(B16="",B16=0),"",DATEDIF($F16,$G$6,"y"))</f>
        <v>28</v>
      </c>
      <c r="H16" s="301">
        <f t="shared" ref="H16:H46" si="20">IF(OR(B16="",B16=0),"",DATEDIF($F16,$H$6,"m")-$G16*12)</f>
        <v>3</v>
      </c>
      <c r="I16" s="668" t="str">
        <f t="shared" si="6"/>
        <v/>
      </c>
      <c r="J16" s="668" t="str">
        <f t="shared" si="7"/>
        <v/>
      </c>
      <c r="K16" s="668" t="str">
        <f t="shared" si="8"/>
        <v/>
      </c>
      <c r="L16" s="668" t="str">
        <f t="shared" si="9"/>
        <v/>
      </c>
      <c r="M16" s="668" t="str">
        <f t="shared" si="10"/>
        <v/>
      </c>
      <c r="N16" s="668" t="str">
        <f t="shared" si="11"/>
        <v/>
      </c>
      <c r="O16" s="668" t="str">
        <f t="shared" si="12"/>
        <v/>
      </c>
      <c r="P16" s="668" t="str">
        <f t="shared" si="13"/>
        <v/>
      </c>
      <c r="Q16" s="668" t="str">
        <f t="shared" si="14"/>
        <v/>
      </c>
      <c r="R16" s="668">
        <f t="shared" si="15"/>
        <v>29</v>
      </c>
      <c r="S16" s="668" t="str">
        <f t="shared" si="16"/>
        <v/>
      </c>
      <c r="T16" s="668" t="str">
        <f t="shared" si="17"/>
        <v/>
      </c>
    </row>
    <row r="17" spans="1:20" s="7" customFormat="1" ht="13.5" customHeight="1" x14ac:dyDescent="0.25">
      <c r="A17" s="296">
        <f>IF(B17=0,0,MAX($A$8:A16)+1)</f>
        <v>10</v>
      </c>
      <c r="B17" s="297" t="str">
        <f>NSTonghop!F17</f>
        <v>Dương Thanh Phong</v>
      </c>
      <c r="C17" s="297">
        <f>NSTonghop!G17</f>
        <v>0</v>
      </c>
      <c r="D17" s="298" t="str">
        <f>IF(C17=0,NSTonghop!H17,NSTonghop!I17)</f>
        <v>01/09/1977</v>
      </c>
      <c r="E17" s="302" t="str">
        <f>NSTonghop!AN17</f>
        <v>01/04/2000</v>
      </c>
      <c r="F17" s="299" t="str">
        <f t="shared" si="18"/>
        <v>01/04/2000</v>
      </c>
      <c r="G17" s="300">
        <f t="shared" si="19"/>
        <v>19</v>
      </c>
      <c r="H17" s="301">
        <f t="shared" si="20"/>
        <v>9</v>
      </c>
      <c r="I17" s="668" t="str">
        <f t="shared" si="6"/>
        <v/>
      </c>
      <c r="J17" s="668" t="str">
        <f t="shared" si="7"/>
        <v/>
      </c>
      <c r="K17" s="668" t="str">
        <f t="shared" si="8"/>
        <v/>
      </c>
      <c r="L17" s="668">
        <f t="shared" si="9"/>
        <v>20</v>
      </c>
      <c r="M17" s="668" t="str">
        <f t="shared" si="10"/>
        <v/>
      </c>
      <c r="N17" s="668" t="str">
        <f t="shared" si="11"/>
        <v/>
      </c>
      <c r="O17" s="668" t="str">
        <f t="shared" si="12"/>
        <v/>
      </c>
      <c r="P17" s="668" t="str">
        <f t="shared" si="13"/>
        <v/>
      </c>
      <c r="Q17" s="668" t="str">
        <f t="shared" si="14"/>
        <v/>
      </c>
      <c r="R17" s="668" t="str">
        <f t="shared" si="15"/>
        <v/>
      </c>
      <c r="S17" s="668" t="str">
        <f t="shared" si="16"/>
        <v/>
      </c>
      <c r="T17" s="668" t="str">
        <f t="shared" si="17"/>
        <v/>
      </c>
    </row>
    <row r="18" spans="1:20" s="7" customFormat="1" ht="13.5" customHeight="1" x14ac:dyDescent="0.25">
      <c r="A18" s="296">
        <f>IF(B18=0,0,MAX($A$8:A17)+1)</f>
        <v>11</v>
      </c>
      <c r="B18" s="297" t="str">
        <f>NSTonghop!F18</f>
        <v>Nguyễn Thái Bình</v>
      </c>
      <c r="C18" s="297">
        <f>NSTonghop!G18</f>
        <v>0</v>
      </c>
      <c r="D18" s="298" t="str">
        <f>IF(C18=0,NSTonghop!H18,NSTonghop!I18)</f>
        <v>17/06/1979</v>
      </c>
      <c r="E18" s="302" t="str">
        <f>NSTonghop!AN18</f>
        <v>01/03/2002</v>
      </c>
      <c r="F18" s="299" t="str">
        <f t="shared" si="18"/>
        <v>01/03/2002</v>
      </c>
      <c r="G18" s="300">
        <f t="shared" si="19"/>
        <v>17</v>
      </c>
      <c r="H18" s="301">
        <f t="shared" si="20"/>
        <v>10</v>
      </c>
      <c r="I18" s="668" t="str">
        <f t="shared" si="6"/>
        <v/>
      </c>
      <c r="J18" s="668" t="str">
        <f t="shared" si="7"/>
        <v/>
      </c>
      <c r="K18" s="668">
        <f t="shared" si="8"/>
        <v>18</v>
      </c>
      <c r="L18" s="668" t="str">
        <f t="shared" si="9"/>
        <v/>
      </c>
      <c r="M18" s="668" t="str">
        <f t="shared" si="10"/>
        <v/>
      </c>
      <c r="N18" s="668" t="str">
        <f t="shared" si="11"/>
        <v/>
      </c>
      <c r="O18" s="668" t="str">
        <f t="shared" si="12"/>
        <v/>
      </c>
      <c r="P18" s="668" t="str">
        <f t="shared" si="13"/>
        <v/>
      </c>
      <c r="Q18" s="668" t="str">
        <f t="shared" si="14"/>
        <v/>
      </c>
      <c r="R18" s="668" t="str">
        <f t="shared" si="15"/>
        <v/>
      </c>
      <c r="S18" s="668" t="str">
        <f t="shared" si="16"/>
        <v/>
      </c>
      <c r="T18" s="668" t="str">
        <f t="shared" si="17"/>
        <v/>
      </c>
    </row>
    <row r="19" spans="1:20" s="7" customFormat="1" ht="13.5" customHeight="1" x14ac:dyDescent="0.25">
      <c r="A19" s="296">
        <f>IF(B19=0,0,MAX($A$8:A18)+1)</f>
        <v>12</v>
      </c>
      <c r="B19" s="297" t="str">
        <f>NSTonghop!F19</f>
        <v>Bùi Thông Thái</v>
      </c>
      <c r="C19" s="297">
        <f>NSTonghop!G19</f>
        <v>0</v>
      </c>
      <c r="D19" s="298" t="str">
        <f>IF(C19=0,NSTonghop!H19,NSTonghop!I19)</f>
        <v>22/07/1965</v>
      </c>
      <c r="E19" s="302" t="str">
        <f>NSTonghop!AN19</f>
        <v>01/03/1989</v>
      </c>
      <c r="F19" s="299" t="str">
        <f t="shared" si="18"/>
        <v>01/03/1989</v>
      </c>
      <c r="G19" s="300">
        <f t="shared" si="19"/>
        <v>30</v>
      </c>
      <c r="H19" s="301">
        <f t="shared" si="20"/>
        <v>10</v>
      </c>
      <c r="I19" s="668" t="str">
        <f t="shared" si="6"/>
        <v/>
      </c>
      <c r="J19" s="668" t="str">
        <f t="shared" si="7"/>
        <v/>
      </c>
      <c r="K19" s="668">
        <f t="shared" si="8"/>
        <v>31</v>
      </c>
      <c r="L19" s="668" t="str">
        <f t="shared" si="9"/>
        <v/>
      </c>
      <c r="M19" s="668" t="str">
        <f t="shared" si="10"/>
        <v/>
      </c>
      <c r="N19" s="668" t="str">
        <f t="shared" si="11"/>
        <v/>
      </c>
      <c r="O19" s="668" t="str">
        <f t="shared" si="12"/>
        <v/>
      </c>
      <c r="P19" s="668" t="str">
        <f t="shared" si="13"/>
        <v/>
      </c>
      <c r="Q19" s="668" t="str">
        <f t="shared" si="14"/>
        <v/>
      </c>
      <c r="R19" s="668" t="str">
        <f t="shared" si="15"/>
        <v/>
      </c>
      <c r="S19" s="668" t="str">
        <f t="shared" si="16"/>
        <v/>
      </c>
      <c r="T19" s="668" t="str">
        <f t="shared" si="17"/>
        <v/>
      </c>
    </row>
    <row r="20" spans="1:20" s="7" customFormat="1" ht="13.5" customHeight="1" x14ac:dyDescent="0.25">
      <c r="A20" s="296">
        <f>IF(B20=0,0,MAX($A$8:A19)+1)</f>
        <v>13</v>
      </c>
      <c r="B20" s="297" t="str">
        <f>NSTonghop!F20</f>
        <v>Đỗ Viết Hùng</v>
      </c>
      <c r="C20" s="297">
        <f>NSTonghop!G20</f>
        <v>0</v>
      </c>
      <c r="D20" s="298" t="str">
        <f>IF(C20=0,NSTonghop!H20,NSTonghop!I20)</f>
        <v>19/02/1975</v>
      </c>
      <c r="E20" s="302" t="str">
        <f>NSTonghop!AN20</f>
        <v>01/03/1999</v>
      </c>
      <c r="F20" s="299" t="str">
        <f t="shared" si="18"/>
        <v>01/03/1999</v>
      </c>
      <c r="G20" s="300">
        <f t="shared" si="19"/>
        <v>20</v>
      </c>
      <c r="H20" s="301">
        <f t="shared" si="20"/>
        <v>10</v>
      </c>
      <c r="I20" s="668" t="str">
        <f t="shared" si="6"/>
        <v/>
      </c>
      <c r="J20" s="668" t="str">
        <f t="shared" si="7"/>
        <v/>
      </c>
      <c r="K20" s="668">
        <f t="shared" si="8"/>
        <v>21</v>
      </c>
      <c r="L20" s="668" t="str">
        <f t="shared" si="9"/>
        <v/>
      </c>
      <c r="M20" s="668" t="str">
        <f t="shared" si="10"/>
        <v/>
      </c>
      <c r="N20" s="668" t="str">
        <f t="shared" si="11"/>
        <v/>
      </c>
      <c r="O20" s="668" t="str">
        <f t="shared" si="12"/>
        <v/>
      </c>
      <c r="P20" s="668" t="str">
        <f t="shared" si="13"/>
        <v/>
      </c>
      <c r="Q20" s="668" t="str">
        <f t="shared" si="14"/>
        <v/>
      </c>
      <c r="R20" s="668" t="str">
        <f t="shared" si="15"/>
        <v/>
      </c>
      <c r="S20" s="668" t="str">
        <f t="shared" si="16"/>
        <v/>
      </c>
      <c r="T20" s="668" t="str">
        <f t="shared" si="17"/>
        <v/>
      </c>
    </row>
    <row r="21" spans="1:20" s="7" customFormat="1" ht="13.5" customHeight="1" x14ac:dyDescent="0.25">
      <c r="A21" s="296">
        <f>IF(B21=0,0,MAX($A$8:A20)+1)</f>
        <v>14</v>
      </c>
      <c r="B21" s="297" t="str">
        <f>NSTonghop!F21</f>
        <v>Phạm Thị Thanh Loan</v>
      </c>
      <c r="C21" s="297" t="str">
        <f>NSTonghop!G21</f>
        <v>x</v>
      </c>
      <c r="D21" s="298" t="str">
        <f>IF(C21=0,NSTonghop!H21,NSTonghop!I21)</f>
        <v>10/11/1983</v>
      </c>
      <c r="E21" s="302" t="str">
        <f>NSTonghop!AN21</f>
        <v>01/09/2006</v>
      </c>
      <c r="F21" s="299" t="str">
        <f t="shared" si="18"/>
        <v>01/09/2006</v>
      </c>
      <c r="G21" s="300">
        <f t="shared" si="19"/>
        <v>13</v>
      </c>
      <c r="H21" s="301">
        <f t="shared" si="20"/>
        <v>4</v>
      </c>
      <c r="I21" s="668" t="str">
        <f t="shared" si="6"/>
        <v/>
      </c>
      <c r="J21" s="668" t="str">
        <f t="shared" si="7"/>
        <v/>
      </c>
      <c r="K21" s="668" t="str">
        <f t="shared" si="8"/>
        <v/>
      </c>
      <c r="L21" s="668" t="str">
        <f t="shared" si="9"/>
        <v/>
      </c>
      <c r="M21" s="668" t="str">
        <f t="shared" si="10"/>
        <v/>
      </c>
      <c r="N21" s="668" t="str">
        <f t="shared" si="11"/>
        <v/>
      </c>
      <c r="O21" s="668" t="str">
        <f t="shared" si="12"/>
        <v/>
      </c>
      <c r="P21" s="668" t="str">
        <f t="shared" si="13"/>
        <v/>
      </c>
      <c r="Q21" s="668">
        <f t="shared" si="14"/>
        <v>14</v>
      </c>
      <c r="R21" s="668" t="str">
        <f t="shared" si="15"/>
        <v/>
      </c>
      <c r="S21" s="668" t="str">
        <f t="shared" si="16"/>
        <v/>
      </c>
      <c r="T21" s="668" t="str">
        <f t="shared" si="17"/>
        <v/>
      </c>
    </row>
    <row r="22" spans="1:20" s="7" customFormat="1" ht="13.5" customHeight="1" x14ac:dyDescent="0.25">
      <c r="A22" s="296">
        <f>IF(B22=0,0,MAX($A$8:A21)+1)</f>
        <v>15</v>
      </c>
      <c r="B22" s="297" t="str">
        <f>NSTonghop!F22</f>
        <v>Huỳnh Thanh Sơn</v>
      </c>
      <c r="C22" s="297">
        <f>NSTonghop!G22</f>
        <v>0</v>
      </c>
      <c r="D22" s="298" t="str">
        <f>IF(C22=0,NSTonghop!H22,NSTonghop!I22)</f>
        <v>12/04/1982</v>
      </c>
      <c r="E22" s="302" t="str">
        <f>NSTonghop!AN22</f>
        <v>01/09/2006</v>
      </c>
      <c r="F22" s="299" t="str">
        <f t="shared" si="18"/>
        <v>01/09/2006</v>
      </c>
      <c r="G22" s="300">
        <f t="shared" si="19"/>
        <v>13</v>
      </c>
      <c r="H22" s="301">
        <f t="shared" si="20"/>
        <v>4</v>
      </c>
      <c r="I22" s="668" t="str">
        <f t="shared" si="6"/>
        <v/>
      </c>
      <c r="J22" s="668" t="str">
        <f t="shared" si="7"/>
        <v/>
      </c>
      <c r="K22" s="668" t="str">
        <f t="shared" si="8"/>
        <v/>
      </c>
      <c r="L22" s="668" t="str">
        <f t="shared" si="9"/>
        <v/>
      </c>
      <c r="M22" s="668" t="str">
        <f t="shared" si="10"/>
        <v/>
      </c>
      <c r="N22" s="668" t="str">
        <f t="shared" si="11"/>
        <v/>
      </c>
      <c r="O22" s="668" t="str">
        <f t="shared" si="12"/>
        <v/>
      </c>
      <c r="P22" s="668" t="str">
        <f t="shared" si="13"/>
        <v/>
      </c>
      <c r="Q22" s="668">
        <f t="shared" si="14"/>
        <v>14</v>
      </c>
      <c r="R22" s="668" t="str">
        <f t="shared" si="15"/>
        <v/>
      </c>
      <c r="S22" s="668" t="str">
        <f t="shared" si="16"/>
        <v/>
      </c>
      <c r="T22" s="668" t="str">
        <f t="shared" si="17"/>
        <v/>
      </c>
    </row>
    <row r="23" spans="1:20" s="7" customFormat="1" ht="13.5" customHeight="1" x14ac:dyDescent="0.25">
      <c r="A23" s="296">
        <f>IF(B23=0,0,MAX($A$8:A22)+1)</f>
        <v>16</v>
      </c>
      <c r="B23" s="297" t="str">
        <f>NSTonghop!F23</f>
        <v>Nguyễn Thị Phương</v>
      </c>
      <c r="C23" s="297" t="str">
        <f>NSTonghop!G23</f>
        <v>x</v>
      </c>
      <c r="D23" s="298" t="str">
        <f>IF(C23=0,NSTonghop!H23,NSTonghop!I23)</f>
        <v>15/07/1981</v>
      </c>
      <c r="E23" s="302" t="str">
        <f>NSTonghop!AN23</f>
        <v>01/09/2007</v>
      </c>
      <c r="F23" s="299" t="str">
        <f t="shared" si="18"/>
        <v>01/09/2007</v>
      </c>
      <c r="G23" s="300">
        <f t="shared" si="19"/>
        <v>12</v>
      </c>
      <c r="H23" s="301">
        <f t="shared" si="20"/>
        <v>4</v>
      </c>
      <c r="I23" s="668" t="str">
        <f t="shared" si="6"/>
        <v/>
      </c>
      <c r="J23" s="668" t="str">
        <f t="shared" si="7"/>
        <v/>
      </c>
      <c r="K23" s="668" t="str">
        <f t="shared" si="8"/>
        <v/>
      </c>
      <c r="L23" s="668" t="str">
        <f t="shared" si="9"/>
        <v/>
      </c>
      <c r="M23" s="668" t="str">
        <f t="shared" si="10"/>
        <v/>
      </c>
      <c r="N23" s="668" t="str">
        <f t="shared" si="11"/>
        <v/>
      </c>
      <c r="O23" s="668" t="str">
        <f t="shared" si="12"/>
        <v/>
      </c>
      <c r="P23" s="668" t="str">
        <f t="shared" si="13"/>
        <v/>
      </c>
      <c r="Q23" s="668">
        <f t="shared" si="14"/>
        <v>13</v>
      </c>
      <c r="R23" s="668" t="str">
        <f t="shared" si="15"/>
        <v/>
      </c>
      <c r="S23" s="668" t="str">
        <f t="shared" si="16"/>
        <v/>
      </c>
      <c r="T23" s="668" t="str">
        <f t="shared" si="17"/>
        <v/>
      </c>
    </row>
    <row r="24" spans="1:20" s="7" customFormat="1" ht="13.5" customHeight="1" x14ac:dyDescent="0.25">
      <c r="A24" s="296">
        <f>IF(B24=0,0,MAX($A$8:A23)+1)</f>
        <v>17</v>
      </c>
      <c r="B24" s="297" t="str">
        <f>NSTonghop!F24</f>
        <v>Thiều Thị Kim Tuyến</v>
      </c>
      <c r="C24" s="297" t="str">
        <f>NSTonghop!G24</f>
        <v>x</v>
      </c>
      <c r="D24" s="298" t="str">
        <f>IF(C24=0,NSTonghop!H24,NSTonghop!I24)</f>
        <v>04/09/1983</v>
      </c>
      <c r="E24" s="302" t="str">
        <f>NSTonghop!AN24</f>
        <v>01/03/2005</v>
      </c>
      <c r="F24" s="299" t="str">
        <f t="shared" si="18"/>
        <v>01/03/2005</v>
      </c>
      <c r="G24" s="300">
        <f t="shared" si="19"/>
        <v>14</v>
      </c>
      <c r="H24" s="301">
        <f t="shared" si="20"/>
        <v>10</v>
      </c>
      <c r="I24" s="668" t="str">
        <f t="shared" si="6"/>
        <v/>
      </c>
      <c r="J24" s="668" t="str">
        <f t="shared" si="7"/>
        <v/>
      </c>
      <c r="K24" s="668">
        <f t="shared" si="8"/>
        <v>15</v>
      </c>
      <c r="L24" s="668" t="str">
        <f t="shared" si="9"/>
        <v/>
      </c>
      <c r="M24" s="668" t="str">
        <f t="shared" si="10"/>
        <v/>
      </c>
      <c r="N24" s="668" t="str">
        <f t="shared" si="11"/>
        <v/>
      </c>
      <c r="O24" s="668" t="str">
        <f t="shared" si="12"/>
        <v/>
      </c>
      <c r="P24" s="668" t="str">
        <f t="shared" si="13"/>
        <v/>
      </c>
      <c r="Q24" s="668" t="str">
        <f t="shared" si="14"/>
        <v/>
      </c>
      <c r="R24" s="668" t="str">
        <f t="shared" si="15"/>
        <v/>
      </c>
      <c r="S24" s="668" t="str">
        <f t="shared" si="16"/>
        <v/>
      </c>
      <c r="T24" s="668" t="str">
        <f t="shared" si="17"/>
        <v/>
      </c>
    </row>
    <row r="25" spans="1:20" s="7" customFormat="1" ht="13.5" customHeight="1" x14ac:dyDescent="0.25">
      <c r="A25" s="296">
        <f>IF(B25=0,0,MAX($A$8:A24)+1)</f>
        <v>18</v>
      </c>
      <c r="B25" s="297" t="str">
        <f>NSTonghop!F25</f>
        <v>Nguyễn Thị Kim Cúc</v>
      </c>
      <c r="C25" s="297" t="str">
        <f>NSTonghop!G25</f>
        <v>x</v>
      </c>
      <c r="D25" s="298" t="str">
        <f>IF(C25=0,NSTonghop!H25,NSTonghop!I25)</f>
        <v>09/02/1977</v>
      </c>
      <c r="E25" s="302" t="str">
        <f>NSTonghop!AN25</f>
        <v>01/4/2000</v>
      </c>
      <c r="F25" s="640" t="s">
        <v>1338</v>
      </c>
      <c r="G25" s="300">
        <f t="shared" si="19"/>
        <v>19</v>
      </c>
      <c r="H25" s="301">
        <f t="shared" si="20"/>
        <v>7</v>
      </c>
      <c r="I25" s="668" t="str">
        <f t="shared" si="6"/>
        <v/>
      </c>
      <c r="J25" s="668" t="str">
        <f t="shared" si="7"/>
        <v/>
      </c>
      <c r="K25" s="668" t="str">
        <f t="shared" si="8"/>
        <v/>
      </c>
      <c r="L25" s="668" t="str">
        <f t="shared" si="9"/>
        <v/>
      </c>
      <c r="M25" s="668" t="str">
        <f t="shared" si="10"/>
        <v/>
      </c>
      <c r="N25" s="668">
        <f t="shared" si="11"/>
        <v>20</v>
      </c>
      <c r="O25" s="668" t="str">
        <f t="shared" si="12"/>
        <v/>
      </c>
      <c r="P25" s="668" t="str">
        <f t="shared" si="13"/>
        <v/>
      </c>
      <c r="Q25" s="668" t="str">
        <f t="shared" si="14"/>
        <v/>
      </c>
      <c r="R25" s="668" t="str">
        <f t="shared" si="15"/>
        <v/>
      </c>
      <c r="S25" s="668" t="str">
        <f t="shared" si="16"/>
        <v/>
      </c>
      <c r="T25" s="668" t="str">
        <f t="shared" si="17"/>
        <v/>
      </c>
    </row>
    <row r="26" spans="1:20" s="7" customFormat="1" ht="13.5" customHeight="1" x14ac:dyDescent="0.25">
      <c r="A26" s="296">
        <f>IF(B26=0,0,MAX($A$8:A25)+1)</f>
        <v>19</v>
      </c>
      <c r="B26" s="297" t="str">
        <f>NSTonghop!F26</f>
        <v>Nguyễn Văn Hội</v>
      </c>
      <c r="C26" s="297">
        <f>NSTonghop!G26</f>
        <v>0</v>
      </c>
      <c r="D26" s="298" t="str">
        <f>IF(C26=0,NSTonghop!H26,NSTonghop!I26)</f>
        <v>15/01/1965</v>
      </c>
      <c r="E26" s="302" t="str">
        <f>NSTonghop!AN26</f>
        <v>12/11/1986</v>
      </c>
      <c r="F26" s="640" t="s">
        <v>1350</v>
      </c>
      <c r="G26" s="300">
        <f t="shared" si="19"/>
        <v>33</v>
      </c>
      <c r="H26" s="301">
        <f t="shared" si="20"/>
        <v>2</v>
      </c>
      <c r="I26" s="668" t="str">
        <f t="shared" si="6"/>
        <v/>
      </c>
      <c r="J26" s="668" t="str">
        <f t="shared" si="7"/>
        <v/>
      </c>
      <c r="K26" s="668" t="str">
        <f t="shared" si="8"/>
        <v/>
      </c>
      <c r="L26" s="668" t="str">
        <f t="shared" si="9"/>
        <v/>
      </c>
      <c r="M26" s="668" t="str">
        <f t="shared" si="10"/>
        <v/>
      </c>
      <c r="N26" s="668" t="str">
        <f t="shared" si="11"/>
        <v/>
      </c>
      <c r="O26" s="668" t="str">
        <f t="shared" si="12"/>
        <v/>
      </c>
      <c r="P26" s="668" t="str">
        <f t="shared" si="13"/>
        <v/>
      </c>
      <c r="Q26" s="668" t="str">
        <f t="shared" si="14"/>
        <v/>
      </c>
      <c r="R26" s="668" t="str">
        <f t="shared" si="15"/>
        <v/>
      </c>
      <c r="S26" s="668">
        <f t="shared" si="16"/>
        <v>34</v>
      </c>
      <c r="T26" s="668" t="str">
        <f t="shared" si="17"/>
        <v/>
      </c>
    </row>
    <row r="27" spans="1:20" s="7" customFormat="1" ht="13.5" customHeight="1" x14ac:dyDescent="0.25">
      <c r="A27" s="296">
        <f>IF(B27=0,0,MAX($A$8:A26)+1)</f>
        <v>20</v>
      </c>
      <c r="B27" s="297" t="str">
        <f>NSTonghop!F27</f>
        <v>Nguyễn Hoàng Tuấn</v>
      </c>
      <c r="C27" s="297">
        <f>NSTonghop!G27</f>
        <v>0</v>
      </c>
      <c r="D27" s="298" t="str">
        <f>IF(C27=0,NSTonghop!H27,NSTonghop!I27)</f>
        <v>03/06/1964</v>
      </c>
      <c r="E27" s="302" t="str">
        <f>NSTonghop!AN27</f>
        <v>01/05/1983</v>
      </c>
      <c r="F27" s="640" t="s">
        <v>1362</v>
      </c>
      <c r="G27" s="300">
        <f t="shared" si="19"/>
        <v>33</v>
      </c>
      <c r="H27" s="301">
        <f t="shared" si="20"/>
        <v>8</v>
      </c>
      <c r="I27" s="668" t="str">
        <f t="shared" si="6"/>
        <v/>
      </c>
      <c r="J27" s="668" t="str">
        <f t="shared" si="7"/>
        <v/>
      </c>
      <c r="K27" s="668" t="str">
        <f t="shared" si="8"/>
        <v/>
      </c>
      <c r="L27" s="668" t="str">
        <f t="shared" si="9"/>
        <v/>
      </c>
      <c r="M27" s="668">
        <f t="shared" si="10"/>
        <v>34</v>
      </c>
      <c r="N27" s="668" t="str">
        <f t="shared" si="11"/>
        <v/>
      </c>
      <c r="O27" s="668" t="str">
        <f t="shared" si="12"/>
        <v/>
      </c>
      <c r="P27" s="668" t="str">
        <f t="shared" si="13"/>
        <v/>
      </c>
      <c r="Q27" s="668" t="str">
        <f t="shared" si="14"/>
        <v/>
      </c>
      <c r="R27" s="668" t="str">
        <f t="shared" si="15"/>
        <v/>
      </c>
      <c r="S27" s="668" t="str">
        <f t="shared" si="16"/>
        <v/>
      </c>
      <c r="T27" s="668" t="str">
        <f t="shared" si="17"/>
        <v/>
      </c>
    </row>
    <row r="28" spans="1:20" s="7" customFormat="1" ht="13.5" customHeight="1" x14ac:dyDescent="0.25">
      <c r="A28" s="296">
        <f>IF(B28=0,0,MAX($A$8:A27)+1)</f>
        <v>21</v>
      </c>
      <c r="B28" s="297" t="str">
        <f>NSTonghop!F28</f>
        <v>Nguyễn Thị Kim Nghe</v>
      </c>
      <c r="C28" s="297" t="str">
        <f>NSTonghop!G28</f>
        <v>x</v>
      </c>
      <c r="D28" s="298" t="str">
        <f>IF(C28=0,NSTonghop!H28,NSTonghop!I28)</f>
        <v>19/05/1969</v>
      </c>
      <c r="E28" s="302" t="str">
        <f>NSTonghop!AN28</f>
        <v>01/02/1992</v>
      </c>
      <c r="F28" s="299">
        <v>33635</v>
      </c>
      <c r="G28" s="300">
        <f t="shared" si="19"/>
        <v>27</v>
      </c>
      <c r="H28" s="301">
        <f t="shared" si="20"/>
        <v>11</v>
      </c>
      <c r="I28" s="668" t="str">
        <f t="shared" si="6"/>
        <v/>
      </c>
      <c r="J28" s="668">
        <f t="shared" si="7"/>
        <v>28</v>
      </c>
      <c r="K28" s="668" t="str">
        <f t="shared" si="8"/>
        <v/>
      </c>
      <c r="L28" s="668" t="str">
        <f t="shared" si="9"/>
        <v/>
      </c>
      <c r="M28" s="668" t="str">
        <f t="shared" si="10"/>
        <v/>
      </c>
      <c r="N28" s="668" t="str">
        <f t="shared" si="11"/>
        <v/>
      </c>
      <c r="O28" s="668" t="str">
        <f t="shared" si="12"/>
        <v/>
      </c>
      <c r="P28" s="668" t="str">
        <f t="shared" si="13"/>
        <v/>
      </c>
      <c r="Q28" s="668" t="str">
        <f t="shared" si="14"/>
        <v/>
      </c>
      <c r="R28" s="668" t="str">
        <f t="shared" si="15"/>
        <v/>
      </c>
      <c r="S28" s="668" t="str">
        <f t="shared" si="16"/>
        <v/>
      </c>
      <c r="T28" s="668" t="str">
        <f t="shared" si="17"/>
        <v/>
      </c>
    </row>
    <row r="29" spans="1:20" s="7" customFormat="1" ht="13.5" customHeight="1" x14ac:dyDescent="0.25">
      <c r="A29" s="296">
        <f>IF(B29=0,0,MAX($A$8:A28)+1)</f>
        <v>22</v>
      </c>
      <c r="B29" s="297" t="str">
        <f>NSTonghop!F29</f>
        <v>Trần Thị Hiên</v>
      </c>
      <c r="C29" s="297" t="str">
        <f>NSTonghop!G29</f>
        <v>x</v>
      </c>
      <c r="D29" s="298" t="str">
        <f>IF(C29=0,NSTonghop!H29,NSTonghop!I29)</f>
        <v>15/09/1968</v>
      </c>
      <c r="E29" s="302" t="str">
        <f>NSTonghop!AN29</f>
        <v>01/09/1991</v>
      </c>
      <c r="F29" s="299" t="str">
        <f t="shared" ref="F29:F89" si="21">E29</f>
        <v>01/09/1991</v>
      </c>
      <c r="G29" s="300">
        <f t="shared" si="19"/>
        <v>28</v>
      </c>
      <c r="H29" s="301">
        <f t="shared" si="20"/>
        <v>4</v>
      </c>
      <c r="I29" s="700"/>
      <c r="J29" s="700"/>
      <c r="K29" s="700"/>
      <c r="L29" s="700"/>
      <c r="M29" s="700"/>
      <c r="N29" s="700"/>
      <c r="O29" s="700"/>
      <c r="P29" s="700"/>
      <c r="Q29" s="700"/>
      <c r="R29" s="700"/>
      <c r="S29" s="700"/>
      <c r="T29" s="700"/>
    </row>
    <row r="30" spans="1:20" s="7" customFormat="1" ht="13.5" customHeight="1" x14ac:dyDescent="0.25">
      <c r="A30" s="296">
        <f>IF(B30=0,0,MAX($A$8:A29)+1)</f>
        <v>23</v>
      </c>
      <c r="B30" s="297" t="str">
        <f>NSTonghop!F30</f>
        <v>Trần Khắc Cường</v>
      </c>
      <c r="C30" s="297">
        <f>NSTonghop!G30</f>
        <v>0</v>
      </c>
      <c r="D30" s="298" t="str">
        <f>IF(C30=0,NSTonghop!H30,NSTonghop!I30)</f>
        <v>25/12/1960</v>
      </c>
      <c r="E30" s="302" t="str">
        <f>NSTonghop!AN30</f>
        <v>01/08/1981</v>
      </c>
      <c r="F30" s="640" t="s">
        <v>1409</v>
      </c>
      <c r="G30" s="300">
        <f t="shared" si="19"/>
        <v>36</v>
      </c>
      <c r="H30" s="301">
        <f t="shared" si="20"/>
        <v>5</v>
      </c>
      <c r="I30" s="668" t="str">
        <f t="shared" si="6"/>
        <v/>
      </c>
      <c r="J30" s="668" t="str">
        <f t="shared" si="7"/>
        <v/>
      </c>
      <c r="K30" s="668" t="str">
        <f t="shared" si="8"/>
        <v/>
      </c>
      <c r="L30" s="668" t="str">
        <f t="shared" si="9"/>
        <v/>
      </c>
      <c r="M30" s="668" t="str">
        <f t="shared" si="10"/>
        <v/>
      </c>
      <c r="N30" s="668" t="str">
        <f t="shared" si="11"/>
        <v/>
      </c>
      <c r="O30" s="668" t="str">
        <f t="shared" si="12"/>
        <v/>
      </c>
      <c r="P30" s="668">
        <f t="shared" si="13"/>
        <v>37</v>
      </c>
      <c r="Q30" s="668" t="str">
        <f t="shared" si="14"/>
        <v/>
      </c>
      <c r="R30" s="668" t="str">
        <f t="shared" si="15"/>
        <v/>
      </c>
      <c r="S30" s="668" t="str">
        <f t="shared" si="16"/>
        <v/>
      </c>
      <c r="T30" s="668" t="str">
        <f t="shared" si="17"/>
        <v/>
      </c>
    </row>
    <row r="31" spans="1:20" s="7" customFormat="1" ht="13.5" customHeight="1" x14ac:dyDescent="0.25">
      <c r="A31" s="296">
        <f>IF(B31=0,0,MAX($A$8:A30)+1)</f>
        <v>24</v>
      </c>
      <c r="B31" s="297" t="str">
        <f>NSTonghop!F31</f>
        <v>Phạm Thị Ba</v>
      </c>
      <c r="C31" s="297" t="str">
        <f>NSTonghop!G31</f>
        <v>x</v>
      </c>
      <c r="D31" s="298" t="str">
        <f>IF(C31=0,NSTonghop!H31,NSTonghop!I31)</f>
        <v>27/06/1965</v>
      </c>
      <c r="E31" s="302" t="str">
        <f>NSTonghop!AN31</f>
        <v>01/10/1990</v>
      </c>
      <c r="F31" s="299" t="str">
        <f t="shared" si="21"/>
        <v>01/10/1990</v>
      </c>
      <c r="G31" s="300">
        <f t="shared" si="19"/>
        <v>29</v>
      </c>
      <c r="H31" s="301">
        <f t="shared" si="20"/>
        <v>3</v>
      </c>
      <c r="I31" s="668" t="str">
        <f t="shared" si="6"/>
        <v/>
      </c>
      <c r="J31" s="668" t="str">
        <f t="shared" si="7"/>
        <v/>
      </c>
      <c r="K31" s="668" t="str">
        <f t="shared" si="8"/>
        <v/>
      </c>
      <c r="L31" s="668" t="str">
        <f t="shared" si="9"/>
        <v/>
      </c>
      <c r="M31" s="668" t="str">
        <f t="shared" si="10"/>
        <v/>
      </c>
      <c r="N31" s="668" t="str">
        <f t="shared" si="11"/>
        <v/>
      </c>
      <c r="O31" s="668" t="str">
        <f t="shared" si="12"/>
        <v/>
      </c>
      <c r="P31" s="668" t="str">
        <f t="shared" si="13"/>
        <v/>
      </c>
      <c r="Q31" s="668" t="str">
        <f t="shared" si="14"/>
        <v/>
      </c>
      <c r="R31" s="668">
        <f t="shared" si="15"/>
        <v>30</v>
      </c>
      <c r="S31" s="668" t="str">
        <f t="shared" si="16"/>
        <v/>
      </c>
      <c r="T31" s="668" t="str">
        <f t="shared" si="17"/>
        <v/>
      </c>
    </row>
    <row r="32" spans="1:20" s="7" customFormat="1" ht="13.5" customHeight="1" x14ac:dyDescent="0.25">
      <c r="A32" s="296">
        <f>IF(B32=0,0,MAX($A$8:A31)+1)</f>
        <v>25</v>
      </c>
      <c r="B32" s="297" t="str">
        <f>NSTonghop!F32</f>
        <v>Trần Thiện Hoàng Sự</v>
      </c>
      <c r="C32" s="297">
        <f>NSTonghop!G32</f>
        <v>0</v>
      </c>
      <c r="D32" s="298" t="str">
        <f>IF(C32=0,NSTonghop!H32,NSTonghop!I32)</f>
        <v>01/12/1964</v>
      </c>
      <c r="E32" s="302" t="str">
        <f>NSTonghop!AN32</f>
        <v>01/05/1988</v>
      </c>
      <c r="F32" s="299" t="str">
        <f t="shared" si="21"/>
        <v>01/05/1988</v>
      </c>
      <c r="G32" s="300">
        <f t="shared" si="19"/>
        <v>31</v>
      </c>
      <c r="H32" s="301">
        <f t="shared" si="20"/>
        <v>8</v>
      </c>
      <c r="I32" s="700" t="str">
        <f t="shared" si="6"/>
        <v/>
      </c>
      <c r="J32" s="700" t="str">
        <f t="shared" si="7"/>
        <v/>
      </c>
      <c r="K32" s="700" t="str">
        <f t="shared" si="8"/>
        <v/>
      </c>
      <c r="L32" s="700"/>
      <c r="M32" s="700"/>
      <c r="N32" s="700"/>
      <c r="O32" s="700"/>
      <c r="P32" s="700"/>
      <c r="Q32" s="700"/>
      <c r="R32" s="700"/>
      <c r="S32" s="700"/>
      <c r="T32" s="700"/>
    </row>
    <row r="33" spans="1:20" s="7" customFormat="1" ht="13.5" customHeight="1" x14ac:dyDescent="0.25">
      <c r="A33" s="296">
        <f>IF(B33=0,0,MAX($A$8:A32)+1)</f>
        <v>26</v>
      </c>
      <c r="B33" s="297" t="str">
        <f>NSTonghop!F33</f>
        <v>Phạm Thị Tuyết Sương</v>
      </c>
      <c r="C33" s="297" t="str">
        <f>NSTonghop!G33</f>
        <v>x</v>
      </c>
      <c r="D33" s="298" t="str">
        <f>IF(C33=0,NSTonghop!H33,NSTonghop!I33)</f>
        <v>01/01/1964</v>
      </c>
      <c r="E33" s="302" t="str">
        <f>NSTonghop!AN33</f>
        <v>01/01/1990</v>
      </c>
      <c r="F33" s="299" t="str">
        <f t="shared" si="21"/>
        <v>01/01/1990</v>
      </c>
      <c r="G33" s="300">
        <f t="shared" si="19"/>
        <v>30</v>
      </c>
      <c r="H33" s="301">
        <f t="shared" si="20"/>
        <v>0</v>
      </c>
      <c r="I33" s="700"/>
      <c r="J33" s="700"/>
      <c r="K33" s="700"/>
      <c r="L33" s="700"/>
      <c r="M33" s="700"/>
      <c r="N33" s="700"/>
      <c r="O33" s="700"/>
      <c r="P33" s="700"/>
      <c r="Q33" s="700"/>
      <c r="R33" s="700"/>
      <c r="S33" s="700"/>
      <c r="T33" s="700"/>
    </row>
    <row r="34" spans="1:20" s="7" customFormat="1" ht="13.5" customHeight="1" x14ac:dyDescent="0.25">
      <c r="A34" s="296">
        <f>IF(B34=0,0,MAX($A$8:A33)+1)</f>
        <v>27</v>
      </c>
      <c r="B34" s="297" t="str">
        <f>NSTonghop!F34</f>
        <v>Trịnh Công Vĩnh</v>
      </c>
      <c r="C34" s="297">
        <f>NSTonghop!G34</f>
        <v>0</v>
      </c>
      <c r="D34" s="298" t="str">
        <f>IF(C34=0,NSTonghop!H34,NSTonghop!I34)</f>
        <v>09/01/1986</v>
      </c>
      <c r="E34" s="302" t="str">
        <f>NSTonghop!AN34</f>
        <v>01/09/2013</v>
      </c>
      <c r="F34" s="299" t="str">
        <f t="shared" si="21"/>
        <v>01/09/2013</v>
      </c>
      <c r="G34" s="300">
        <f t="shared" si="19"/>
        <v>6</v>
      </c>
      <c r="H34" s="301">
        <f t="shared" si="20"/>
        <v>4</v>
      </c>
      <c r="I34" s="668" t="str">
        <f t="shared" si="6"/>
        <v/>
      </c>
      <c r="J34" s="668" t="str">
        <f t="shared" si="7"/>
        <v/>
      </c>
      <c r="K34" s="668" t="str">
        <f t="shared" si="8"/>
        <v/>
      </c>
      <c r="L34" s="668" t="str">
        <f t="shared" si="9"/>
        <v/>
      </c>
      <c r="M34" s="668" t="str">
        <f t="shared" si="10"/>
        <v/>
      </c>
      <c r="N34" s="668" t="str">
        <f t="shared" si="11"/>
        <v/>
      </c>
      <c r="O34" s="668" t="str">
        <f t="shared" si="12"/>
        <v/>
      </c>
      <c r="P34" s="668" t="str">
        <f t="shared" si="13"/>
        <v/>
      </c>
      <c r="Q34" s="668">
        <f t="shared" si="14"/>
        <v>7</v>
      </c>
      <c r="R34" s="668" t="str">
        <f t="shared" si="15"/>
        <v/>
      </c>
      <c r="S34" s="668" t="str">
        <f t="shared" si="16"/>
        <v/>
      </c>
      <c r="T34" s="668" t="str">
        <f t="shared" si="17"/>
        <v/>
      </c>
    </row>
    <row r="35" spans="1:20" s="7" customFormat="1" ht="13.5" customHeight="1" x14ac:dyDescent="0.25">
      <c r="A35" s="296">
        <f>IF(B35=0,0,MAX($A$8:A34)+1)</f>
        <v>28</v>
      </c>
      <c r="B35" s="297" t="str">
        <f>NSTonghop!F35</f>
        <v>Trần Thị Kim Hương</v>
      </c>
      <c r="C35" s="297" t="str">
        <f>NSTonghop!G35</f>
        <v>x</v>
      </c>
      <c r="D35" s="298" t="str">
        <f>IF(C35=0,NSTonghop!H35,NSTonghop!I35)</f>
        <v>25/08/1986</v>
      </c>
      <c r="E35" s="302" t="str">
        <f>NSTonghop!AN35</f>
        <v>01/09/2008</v>
      </c>
      <c r="F35" s="299" t="str">
        <f t="shared" si="21"/>
        <v>01/09/2008</v>
      </c>
      <c r="G35" s="300">
        <f t="shared" si="19"/>
        <v>11</v>
      </c>
      <c r="H35" s="301">
        <f t="shared" si="20"/>
        <v>4</v>
      </c>
      <c r="I35" s="668" t="str">
        <f t="shared" si="6"/>
        <v/>
      </c>
      <c r="J35" s="668" t="str">
        <f t="shared" si="7"/>
        <v/>
      </c>
      <c r="K35" s="668" t="str">
        <f t="shared" si="8"/>
        <v/>
      </c>
      <c r="L35" s="668" t="str">
        <f t="shared" si="9"/>
        <v/>
      </c>
      <c r="M35" s="668" t="str">
        <f t="shared" si="10"/>
        <v/>
      </c>
      <c r="N35" s="668" t="str">
        <f t="shared" si="11"/>
        <v/>
      </c>
      <c r="O35" s="668" t="str">
        <f t="shared" si="12"/>
        <v/>
      </c>
      <c r="P35" s="668" t="str">
        <f t="shared" si="13"/>
        <v/>
      </c>
      <c r="Q35" s="668">
        <f t="shared" si="14"/>
        <v>12</v>
      </c>
      <c r="R35" s="668" t="str">
        <f t="shared" si="15"/>
        <v/>
      </c>
      <c r="S35" s="668" t="str">
        <f t="shared" si="16"/>
        <v/>
      </c>
      <c r="T35" s="668" t="str">
        <f t="shared" si="17"/>
        <v/>
      </c>
    </row>
    <row r="36" spans="1:20" s="7" customFormat="1" ht="13.5" customHeight="1" x14ac:dyDescent="0.25">
      <c r="A36" s="296">
        <f>IF(B36=0,0,MAX($A$8:A35)+1)</f>
        <v>29</v>
      </c>
      <c r="B36" s="297" t="str">
        <f>NSTonghop!F36</f>
        <v>Tô Thị Kiều</v>
      </c>
      <c r="C36" s="297" t="str">
        <f>NSTonghop!G36</f>
        <v>x</v>
      </c>
      <c r="D36" s="298" t="str">
        <f>IF(C36=0,NSTonghop!H36,NSTonghop!I36)</f>
        <v>04/01/1988</v>
      </c>
      <c r="E36" s="302" t="str">
        <f>NSTonghop!AN36</f>
        <v>01/09/2014</v>
      </c>
      <c r="F36" s="299" t="str">
        <f t="shared" si="21"/>
        <v>01/09/2014</v>
      </c>
      <c r="G36" s="300">
        <f t="shared" si="19"/>
        <v>5</v>
      </c>
      <c r="H36" s="301">
        <f t="shared" si="20"/>
        <v>4</v>
      </c>
      <c r="I36" s="668" t="str">
        <f t="shared" si="6"/>
        <v/>
      </c>
      <c r="J36" s="668" t="str">
        <f t="shared" si="7"/>
        <v/>
      </c>
      <c r="K36" s="668" t="str">
        <f t="shared" si="8"/>
        <v/>
      </c>
      <c r="L36" s="668" t="str">
        <f t="shared" si="9"/>
        <v/>
      </c>
      <c r="M36" s="668" t="str">
        <f t="shared" si="10"/>
        <v/>
      </c>
      <c r="N36" s="668" t="str">
        <f t="shared" si="11"/>
        <v/>
      </c>
      <c r="O36" s="668" t="str">
        <f t="shared" si="12"/>
        <v/>
      </c>
      <c r="P36" s="668" t="str">
        <f t="shared" si="13"/>
        <v/>
      </c>
      <c r="Q36" s="668">
        <f t="shared" si="14"/>
        <v>6</v>
      </c>
      <c r="R36" s="668" t="str">
        <f t="shared" si="15"/>
        <v/>
      </c>
      <c r="S36" s="668" t="str">
        <f t="shared" si="16"/>
        <v/>
      </c>
      <c r="T36" s="668" t="str">
        <f t="shared" si="17"/>
        <v/>
      </c>
    </row>
    <row r="37" spans="1:20" s="7" customFormat="1" ht="13.5" customHeight="1" x14ac:dyDescent="0.25">
      <c r="A37" s="296">
        <f>IF(B37=0,0,MAX($A$8:A36)+1)</f>
        <v>30</v>
      </c>
      <c r="B37" s="297" t="str">
        <f>NSTonghop!F37</f>
        <v>Nguyễn Thị Bạch Cúc</v>
      </c>
      <c r="C37" s="297" t="str">
        <f>NSTonghop!G37</f>
        <v>x</v>
      </c>
      <c r="D37" s="298" t="str">
        <f>IF(C37=0,NSTonghop!H37,NSTonghop!I37)</f>
        <v>21/07/1965</v>
      </c>
      <c r="E37" s="302" t="str">
        <f>NSTonghop!AN37</f>
        <v>01/09/1991</v>
      </c>
      <c r="F37" s="299" t="str">
        <f t="shared" si="21"/>
        <v>01/09/1991</v>
      </c>
      <c r="G37" s="300">
        <f t="shared" si="19"/>
        <v>28</v>
      </c>
      <c r="H37" s="301">
        <f t="shared" si="20"/>
        <v>4</v>
      </c>
      <c r="I37" s="668" t="str">
        <f t="shared" si="6"/>
        <v/>
      </c>
      <c r="J37" s="668" t="str">
        <f t="shared" si="7"/>
        <v/>
      </c>
      <c r="K37" s="668" t="str">
        <f t="shared" si="8"/>
        <v/>
      </c>
      <c r="L37" s="668" t="str">
        <f t="shared" si="9"/>
        <v/>
      </c>
      <c r="M37" s="668" t="str">
        <f t="shared" si="10"/>
        <v/>
      </c>
      <c r="N37" s="668" t="str">
        <f t="shared" si="11"/>
        <v/>
      </c>
      <c r="O37" s="668" t="str">
        <f t="shared" si="12"/>
        <v/>
      </c>
      <c r="P37" s="668" t="str">
        <f t="shared" si="13"/>
        <v/>
      </c>
      <c r="Q37" s="668">
        <f t="shared" si="14"/>
        <v>29</v>
      </c>
      <c r="R37" s="668" t="str">
        <f t="shared" si="15"/>
        <v/>
      </c>
      <c r="S37" s="668" t="str">
        <f t="shared" si="16"/>
        <v/>
      </c>
      <c r="T37" s="668" t="str">
        <f t="shared" si="17"/>
        <v/>
      </c>
    </row>
    <row r="38" spans="1:20" s="7" customFormat="1" ht="13.5" customHeight="1" x14ac:dyDescent="0.25">
      <c r="A38" s="296">
        <f>IF(B38=0,0,MAX($A$8:A37)+1)</f>
        <v>31</v>
      </c>
      <c r="B38" s="297" t="str">
        <f>NSTonghop!F38</f>
        <v>Nguyễn Thị Kim Cương</v>
      </c>
      <c r="C38" s="297" t="str">
        <f>NSTonghop!G38</f>
        <v>x</v>
      </c>
      <c r="D38" s="298" t="str">
        <f>IF(C38=0,NSTonghop!H38,NSTonghop!I38)</f>
        <v>20/09/1987</v>
      </c>
      <c r="E38" s="302" t="str">
        <f>NSTonghop!AN38</f>
        <v>01/09/2012</v>
      </c>
      <c r="F38" s="299" t="str">
        <f t="shared" si="21"/>
        <v>01/09/2012</v>
      </c>
      <c r="G38" s="300">
        <f t="shared" si="19"/>
        <v>7</v>
      </c>
      <c r="H38" s="301">
        <f t="shared" si="20"/>
        <v>4</v>
      </c>
      <c r="I38" s="668" t="str">
        <f t="shared" si="6"/>
        <v/>
      </c>
      <c r="J38" s="668" t="str">
        <f t="shared" si="7"/>
        <v/>
      </c>
      <c r="K38" s="668" t="str">
        <f t="shared" si="8"/>
        <v/>
      </c>
      <c r="L38" s="668" t="str">
        <f t="shared" si="9"/>
        <v/>
      </c>
      <c r="M38" s="668" t="str">
        <f t="shared" si="10"/>
        <v/>
      </c>
      <c r="N38" s="668" t="str">
        <f t="shared" si="11"/>
        <v/>
      </c>
      <c r="O38" s="668" t="str">
        <f t="shared" si="12"/>
        <v/>
      </c>
      <c r="P38" s="668" t="str">
        <f t="shared" si="13"/>
        <v/>
      </c>
      <c r="Q38" s="668">
        <f t="shared" si="14"/>
        <v>8</v>
      </c>
      <c r="R38" s="668" t="str">
        <f t="shared" si="15"/>
        <v/>
      </c>
      <c r="S38" s="668" t="str">
        <f t="shared" si="16"/>
        <v/>
      </c>
      <c r="T38" s="668" t="str">
        <f t="shared" si="17"/>
        <v/>
      </c>
    </row>
    <row r="39" spans="1:20" s="7" customFormat="1" ht="13.5" customHeight="1" x14ac:dyDescent="0.25">
      <c r="A39" s="296">
        <f>IF(B39=0,0,MAX($A$8:A38)+1)</f>
        <v>32</v>
      </c>
      <c r="B39" s="297" t="str">
        <f>NSTonghop!F39</f>
        <v>Trần Thị Ngọc Giàu</v>
      </c>
      <c r="C39" s="297" t="str">
        <f>NSTonghop!G39</f>
        <v>x</v>
      </c>
      <c r="D39" s="298" t="str">
        <f>IF(C39=0,NSTonghop!H39,NSTonghop!I39)</f>
        <v>01/07/1981</v>
      </c>
      <c r="E39" s="302" t="str">
        <f>NSTonghop!AN39</f>
        <v>01/03/2004</v>
      </c>
      <c r="F39" s="299" t="str">
        <f t="shared" si="21"/>
        <v>01/03/2004</v>
      </c>
      <c r="G39" s="300">
        <f t="shared" si="19"/>
        <v>15</v>
      </c>
      <c r="H39" s="301">
        <f t="shared" si="20"/>
        <v>10</v>
      </c>
      <c r="I39" s="668" t="str">
        <f t="shared" si="6"/>
        <v/>
      </c>
      <c r="J39" s="668" t="str">
        <f t="shared" si="7"/>
        <v/>
      </c>
      <c r="K39" s="668">
        <f t="shared" si="8"/>
        <v>16</v>
      </c>
      <c r="L39" s="668" t="str">
        <f t="shared" si="9"/>
        <v/>
      </c>
      <c r="M39" s="668" t="str">
        <f t="shared" si="10"/>
        <v/>
      </c>
      <c r="N39" s="668" t="str">
        <f t="shared" si="11"/>
        <v/>
      </c>
      <c r="O39" s="668" t="str">
        <f t="shared" si="12"/>
        <v/>
      </c>
      <c r="P39" s="668" t="str">
        <f t="shared" si="13"/>
        <v/>
      </c>
      <c r="Q39" s="668" t="str">
        <f t="shared" si="14"/>
        <v/>
      </c>
      <c r="R39" s="668" t="str">
        <f t="shared" si="15"/>
        <v/>
      </c>
      <c r="S39" s="668" t="str">
        <f t="shared" si="16"/>
        <v/>
      </c>
      <c r="T39" s="668" t="str">
        <f t="shared" si="17"/>
        <v/>
      </c>
    </row>
    <row r="40" spans="1:20" s="7" customFormat="1" ht="13.5" customHeight="1" x14ac:dyDescent="0.25">
      <c r="A40" s="296">
        <f>IF(B40=0,0,MAX($A$8:A39)+1)</f>
        <v>33</v>
      </c>
      <c r="B40" s="297" t="str">
        <f>NSTonghop!F40</f>
        <v>Phạm Thị Thoa</v>
      </c>
      <c r="C40" s="297" t="str">
        <f>NSTonghop!G40</f>
        <v>x</v>
      </c>
      <c r="D40" s="298" t="str">
        <f>IF(C40=0,NSTonghop!H40,NSTonghop!I40)</f>
        <v>10/05/1979</v>
      </c>
      <c r="E40" s="302" t="str">
        <f>NSTonghop!AN40</f>
        <v>01/03/2000</v>
      </c>
      <c r="F40" s="299" t="str">
        <f t="shared" si="21"/>
        <v>01/03/2000</v>
      </c>
      <c r="G40" s="300">
        <f t="shared" si="19"/>
        <v>19</v>
      </c>
      <c r="H40" s="301">
        <f t="shared" si="20"/>
        <v>10</v>
      </c>
      <c r="I40" s="668" t="str">
        <f t="shared" si="6"/>
        <v/>
      </c>
      <c r="J40" s="668" t="str">
        <f t="shared" si="7"/>
        <v/>
      </c>
      <c r="K40" s="668">
        <f t="shared" si="8"/>
        <v>20</v>
      </c>
      <c r="L40" s="668" t="str">
        <f t="shared" si="9"/>
        <v/>
      </c>
      <c r="M40" s="668" t="str">
        <f t="shared" si="10"/>
        <v/>
      </c>
      <c r="N40" s="668" t="str">
        <f t="shared" si="11"/>
        <v/>
      </c>
      <c r="O40" s="668" t="str">
        <f t="shared" si="12"/>
        <v/>
      </c>
      <c r="P40" s="668" t="str">
        <f t="shared" si="13"/>
        <v/>
      </c>
      <c r="Q40" s="668" t="str">
        <f t="shared" si="14"/>
        <v/>
      </c>
      <c r="R40" s="668" t="str">
        <f t="shared" si="15"/>
        <v/>
      </c>
      <c r="S40" s="668" t="str">
        <f t="shared" si="16"/>
        <v/>
      </c>
      <c r="T40" s="668" t="str">
        <f t="shared" si="17"/>
        <v/>
      </c>
    </row>
    <row r="41" spans="1:20" s="8" customFormat="1" ht="13.5" customHeight="1" x14ac:dyDescent="0.25">
      <c r="A41" s="296">
        <f>IF(B41=0,0,MAX($A$8:A40)+1)</f>
        <v>34</v>
      </c>
      <c r="B41" s="297" t="str">
        <f>NSTonghop!F41</f>
        <v>Lê Thị Tính</v>
      </c>
      <c r="C41" s="297" t="str">
        <f>NSTonghop!G41</f>
        <v>x</v>
      </c>
      <c r="D41" s="298" t="str">
        <f>IF(C41=0,NSTonghop!H41,NSTonghop!I41)</f>
        <v>06/08/1981</v>
      </c>
      <c r="E41" s="302" t="str">
        <f>NSTonghop!AN41</f>
        <v>01/03/2003</v>
      </c>
      <c r="F41" s="299" t="str">
        <f t="shared" si="21"/>
        <v>01/03/2003</v>
      </c>
      <c r="G41" s="300">
        <f t="shared" si="19"/>
        <v>16</v>
      </c>
      <c r="H41" s="301">
        <f t="shared" si="20"/>
        <v>10</v>
      </c>
      <c r="I41" s="668" t="str">
        <f t="shared" si="6"/>
        <v/>
      </c>
      <c r="J41" s="668" t="str">
        <f t="shared" si="7"/>
        <v/>
      </c>
      <c r="K41" s="668">
        <f t="shared" si="8"/>
        <v>17</v>
      </c>
      <c r="L41" s="668" t="str">
        <f t="shared" si="9"/>
        <v/>
      </c>
      <c r="M41" s="668" t="str">
        <f t="shared" si="10"/>
        <v/>
      </c>
      <c r="N41" s="668" t="str">
        <f t="shared" si="11"/>
        <v/>
      </c>
      <c r="O41" s="668" t="str">
        <f t="shared" si="12"/>
        <v/>
      </c>
      <c r="P41" s="668" t="str">
        <f t="shared" si="13"/>
        <v/>
      </c>
      <c r="Q41" s="668" t="str">
        <f t="shared" si="14"/>
        <v/>
      </c>
      <c r="R41" s="668" t="str">
        <f t="shared" si="15"/>
        <v/>
      </c>
      <c r="S41" s="668" t="str">
        <f t="shared" si="16"/>
        <v/>
      </c>
      <c r="T41" s="668" t="str">
        <f t="shared" si="17"/>
        <v/>
      </c>
    </row>
    <row r="42" spans="1:20" s="8" customFormat="1" ht="13.5" customHeight="1" x14ac:dyDescent="0.25">
      <c r="A42" s="296">
        <f>IF(B42=0,0,MAX($A$8:A41)+1)</f>
        <v>35</v>
      </c>
      <c r="B42" s="297" t="str">
        <f>NSTonghop!F42</f>
        <v>Võ Thị Kim Thùy</v>
      </c>
      <c r="C42" s="297" t="str">
        <f>NSTonghop!G42</f>
        <v>x</v>
      </c>
      <c r="D42" s="298" t="str">
        <f>IF(C42=0,NSTonghop!H42,NSTonghop!I42)</f>
        <v>30/07/1991</v>
      </c>
      <c r="E42" s="302" t="str">
        <f>NSTonghop!AN42</f>
        <v>01/07/2017</v>
      </c>
      <c r="F42" s="299" t="str">
        <f t="shared" si="21"/>
        <v>01/07/2017</v>
      </c>
      <c r="G42" s="300">
        <f t="shared" si="19"/>
        <v>2</v>
      </c>
      <c r="H42" s="301">
        <f t="shared" si="20"/>
        <v>6</v>
      </c>
      <c r="I42" s="668" t="str">
        <f t="shared" si="6"/>
        <v/>
      </c>
      <c r="J42" s="668" t="str">
        <f t="shared" si="7"/>
        <v/>
      </c>
      <c r="K42" s="668" t="str">
        <f t="shared" si="8"/>
        <v/>
      </c>
      <c r="L42" s="668" t="str">
        <f t="shared" si="9"/>
        <v/>
      </c>
      <c r="M42" s="668" t="str">
        <f t="shared" si="10"/>
        <v/>
      </c>
      <c r="N42" s="668" t="str">
        <f t="shared" si="11"/>
        <v/>
      </c>
      <c r="O42" s="668" t="str">
        <f t="shared" si="12"/>
        <v/>
      </c>
      <c r="P42" s="668" t="str">
        <f t="shared" si="13"/>
        <v/>
      </c>
      <c r="Q42" s="668" t="str">
        <f t="shared" si="14"/>
        <v/>
      </c>
      <c r="R42" s="668" t="str">
        <f t="shared" si="15"/>
        <v/>
      </c>
      <c r="S42" s="668" t="str">
        <f t="shared" si="16"/>
        <v/>
      </c>
      <c r="T42" s="668" t="str">
        <f t="shared" si="17"/>
        <v/>
      </c>
    </row>
    <row r="43" spans="1:20" s="8" customFormat="1" ht="13.5" customHeight="1" x14ac:dyDescent="0.25">
      <c r="A43" s="296">
        <f>IF(B43=0,0,MAX($A$8:A42)+1)</f>
        <v>36</v>
      </c>
      <c r="B43" s="297" t="str">
        <f>NSTonghop!F43</f>
        <v>Châu Thị Huỳnh Mai</v>
      </c>
      <c r="C43" s="297" t="str">
        <f>NSTonghop!G43</f>
        <v>x</v>
      </c>
      <c r="D43" s="298" t="str">
        <f>IF(C43=0,NSTonghop!H43,NSTonghop!I43)</f>
        <v>03/02/1976</v>
      </c>
      <c r="E43" s="302" t="str">
        <f>NSTonghop!AN43</f>
        <v>01/01/1999</v>
      </c>
      <c r="F43" s="640" t="s">
        <v>1371</v>
      </c>
      <c r="G43" s="300">
        <f t="shared" si="19"/>
        <v>23</v>
      </c>
      <c r="H43" s="301">
        <f t="shared" si="20"/>
        <v>0</v>
      </c>
      <c r="I43" s="668">
        <f t="shared" si="6"/>
        <v>23</v>
      </c>
      <c r="J43" s="668" t="str">
        <f t="shared" si="7"/>
        <v/>
      </c>
      <c r="K43" s="668" t="str">
        <f t="shared" si="8"/>
        <v/>
      </c>
      <c r="L43" s="668" t="str">
        <f t="shared" si="9"/>
        <v/>
      </c>
      <c r="M43" s="668" t="str">
        <f t="shared" si="10"/>
        <v/>
      </c>
      <c r="N43" s="668" t="str">
        <f t="shared" si="11"/>
        <v/>
      </c>
      <c r="O43" s="668" t="str">
        <f t="shared" si="12"/>
        <v/>
      </c>
      <c r="P43" s="668" t="str">
        <f t="shared" si="13"/>
        <v/>
      </c>
      <c r="Q43" s="668" t="str">
        <f t="shared" si="14"/>
        <v/>
      </c>
      <c r="R43" s="668" t="str">
        <f t="shared" si="15"/>
        <v/>
      </c>
      <c r="S43" s="668" t="str">
        <f t="shared" si="16"/>
        <v/>
      </c>
      <c r="T43" s="668" t="str">
        <f t="shared" si="17"/>
        <v/>
      </c>
    </row>
    <row r="44" spans="1:20" s="8" customFormat="1" ht="13.5" customHeight="1" x14ac:dyDescent="0.25">
      <c r="A44" s="296">
        <f>IF(B44=0,0,MAX($A$8:A43)+1)</f>
        <v>37</v>
      </c>
      <c r="B44" s="297" t="str">
        <f>NSTonghop!F44</f>
        <v>Huỳnh Thị Lang Chi</v>
      </c>
      <c r="C44" s="297" t="str">
        <f>NSTonghop!G44</f>
        <v>x</v>
      </c>
      <c r="D44" s="298" t="str">
        <f>IF(C44=0,NSTonghop!H44,NSTonghop!I44)</f>
        <v>06/08/1971</v>
      </c>
      <c r="E44" s="302" t="str">
        <f>NSTonghop!AN44</f>
        <v>01/12/1995</v>
      </c>
      <c r="F44" s="299" t="str">
        <f t="shared" si="21"/>
        <v>01/12/1995</v>
      </c>
      <c r="G44" s="300">
        <f t="shared" si="19"/>
        <v>24</v>
      </c>
      <c r="H44" s="301">
        <f t="shared" si="20"/>
        <v>1</v>
      </c>
      <c r="I44" s="668" t="str">
        <f t="shared" si="6"/>
        <v/>
      </c>
      <c r="J44" s="668" t="str">
        <f t="shared" si="7"/>
        <v/>
      </c>
      <c r="K44" s="668" t="str">
        <f t="shared" si="8"/>
        <v/>
      </c>
      <c r="L44" s="668" t="str">
        <f t="shared" si="9"/>
        <v/>
      </c>
      <c r="M44" s="668" t="str">
        <f t="shared" si="10"/>
        <v/>
      </c>
      <c r="N44" s="668" t="str">
        <f t="shared" si="11"/>
        <v/>
      </c>
      <c r="O44" s="668" t="str">
        <f t="shared" si="12"/>
        <v/>
      </c>
      <c r="P44" s="668" t="str">
        <f t="shared" si="13"/>
        <v/>
      </c>
      <c r="Q44" s="668" t="str">
        <f t="shared" si="14"/>
        <v/>
      </c>
      <c r="R44" s="668" t="str">
        <f t="shared" si="15"/>
        <v/>
      </c>
      <c r="S44" s="668" t="str">
        <f t="shared" si="16"/>
        <v/>
      </c>
      <c r="T44" s="668">
        <f t="shared" si="17"/>
        <v>25</v>
      </c>
    </row>
    <row r="45" spans="1:20" s="8" customFormat="1" ht="13.5" customHeight="1" x14ac:dyDescent="0.25">
      <c r="A45" s="296">
        <f>IF(B45=0,0,MAX($A$8:A44)+1)</f>
        <v>38</v>
      </c>
      <c r="B45" s="297" t="str">
        <f>NSTonghop!F45</f>
        <v>Đoàn Thị Viên An</v>
      </c>
      <c r="C45" s="297" t="str">
        <f>NSTonghop!G45</f>
        <v>x</v>
      </c>
      <c r="D45" s="298" t="str">
        <f>IF(C45=0,NSTonghop!H45,NSTonghop!I45)</f>
        <v>09/03/1978</v>
      </c>
      <c r="E45" s="302" t="str">
        <f>NSTonghop!AN45</f>
        <v>01/04/2000</v>
      </c>
      <c r="F45" s="299" t="str">
        <f t="shared" si="21"/>
        <v>01/04/2000</v>
      </c>
      <c r="G45" s="300">
        <f t="shared" si="19"/>
        <v>19</v>
      </c>
      <c r="H45" s="301">
        <f t="shared" si="20"/>
        <v>9</v>
      </c>
      <c r="I45" s="668" t="str">
        <f t="shared" si="6"/>
        <v/>
      </c>
      <c r="J45" s="668" t="str">
        <f t="shared" si="7"/>
        <v/>
      </c>
      <c r="K45" s="668" t="str">
        <f t="shared" si="8"/>
        <v/>
      </c>
      <c r="L45" s="668">
        <f t="shared" si="9"/>
        <v>20</v>
      </c>
      <c r="M45" s="668" t="str">
        <f t="shared" si="10"/>
        <v/>
      </c>
      <c r="N45" s="668" t="str">
        <f t="shared" si="11"/>
        <v/>
      </c>
      <c r="O45" s="668" t="str">
        <f t="shared" si="12"/>
        <v/>
      </c>
      <c r="P45" s="668" t="str">
        <f t="shared" si="13"/>
        <v/>
      </c>
      <c r="Q45" s="668" t="str">
        <f t="shared" si="14"/>
        <v/>
      </c>
      <c r="R45" s="668" t="str">
        <f t="shared" si="15"/>
        <v/>
      </c>
      <c r="S45" s="668" t="str">
        <f t="shared" si="16"/>
        <v/>
      </c>
      <c r="T45" s="668" t="str">
        <f t="shared" si="17"/>
        <v/>
      </c>
    </row>
    <row r="46" spans="1:20" s="8" customFormat="1" ht="13.5" customHeight="1" x14ac:dyDescent="0.25">
      <c r="A46" s="296">
        <f>IF(B46=0,0,MAX($A$8:A45)+1)</f>
        <v>39</v>
      </c>
      <c r="B46" s="297" t="str">
        <f>NSTonghop!F46</f>
        <v>Nguyễn Thị Đầm</v>
      </c>
      <c r="C46" s="297" t="str">
        <f>NSTonghop!G46</f>
        <v>x</v>
      </c>
      <c r="D46" s="298" t="str">
        <f>IF(C46=0,NSTonghop!H46,NSTonghop!I46)</f>
        <v>06/06/1976</v>
      </c>
      <c r="E46" s="302" t="str">
        <f>NSTonghop!AN46</f>
        <v>01/04/1999</v>
      </c>
      <c r="F46" s="640" t="s">
        <v>1411</v>
      </c>
      <c r="G46" s="300">
        <f t="shared" si="19"/>
        <v>20</v>
      </c>
      <c r="H46" s="301">
        <f t="shared" si="20"/>
        <v>10</v>
      </c>
      <c r="I46" s="668" t="str">
        <f t="shared" si="6"/>
        <v/>
      </c>
      <c r="J46" s="668" t="str">
        <f t="shared" si="7"/>
        <v/>
      </c>
      <c r="K46" s="668">
        <f t="shared" si="8"/>
        <v>21</v>
      </c>
      <c r="L46" s="668" t="str">
        <f t="shared" si="9"/>
        <v/>
      </c>
      <c r="M46" s="668" t="str">
        <f t="shared" si="10"/>
        <v/>
      </c>
      <c r="N46" s="668" t="str">
        <f t="shared" si="11"/>
        <v/>
      </c>
      <c r="O46" s="668" t="str">
        <f t="shared" si="12"/>
        <v/>
      </c>
      <c r="P46" s="668" t="str">
        <f t="shared" si="13"/>
        <v/>
      </c>
      <c r="Q46" s="668" t="str">
        <f t="shared" si="14"/>
        <v/>
      </c>
      <c r="R46" s="668" t="str">
        <f t="shared" si="15"/>
        <v/>
      </c>
      <c r="S46" s="668" t="str">
        <f t="shared" si="16"/>
        <v/>
      </c>
      <c r="T46" s="668" t="str">
        <f t="shared" si="17"/>
        <v/>
      </c>
    </row>
    <row r="47" spans="1:20" s="8" customFormat="1" ht="13.5" customHeight="1" x14ac:dyDescent="0.25">
      <c r="A47" s="296">
        <f>IF(B47=0,0,MAX($A$8:A46)+1)</f>
        <v>40</v>
      </c>
      <c r="B47" s="297" t="str">
        <f>NSTonghop!F47</f>
        <v>Trần Thị Thanh Tiền</v>
      </c>
      <c r="C47" s="297" t="str">
        <f>NSTonghop!G47</f>
        <v>x</v>
      </c>
      <c r="D47" s="298" t="str">
        <f>IF(C47=0,NSTonghop!H47,NSTonghop!I47)</f>
        <v>05/10/1981</v>
      </c>
      <c r="E47" s="302" t="str">
        <f>NSTonghop!AN47</f>
        <v>01/03/2004</v>
      </c>
      <c r="F47" s="299" t="str">
        <f t="shared" si="21"/>
        <v>01/03/2004</v>
      </c>
      <c r="G47" s="300">
        <f t="shared" ref="G47:G72" si="22">IF(OR(B47="",B47=0),"",DATEDIF($F47,$G$6,"y"))</f>
        <v>15</v>
      </c>
      <c r="H47" s="301">
        <f t="shared" ref="H47:H72" si="23">IF(OR(B47="",B47=0),"",DATEDIF($F47,$H$6,"m")-$G47*12)</f>
        <v>10</v>
      </c>
      <c r="I47" s="668" t="str">
        <f t="shared" ref="I47:I72" si="24">IF(OR(B47="",B47=0),"",IF($H47=0,$G47,IF(AND(DATEDIF($F47,I$6,"m")-$G47*12=12,$G47&gt;=4),$G47+1,"")))</f>
        <v/>
      </c>
      <c r="J47" s="668" t="str">
        <f t="shared" ref="J47:J72" si="25">IF(OR(B47="",B47=0),"",IF(AND(DATEDIF($F47,J$6,"m")-$G47*12=12,$G47&gt;=4),$G47+1,""))</f>
        <v/>
      </c>
      <c r="K47" s="668">
        <f t="shared" ref="K47:K72" si="26">IF(OR(B47="",B47=0),"",IF(AND(DATEDIF($F47,K$6,"m")-$G47*12=12,$G47&gt;=4),$G47+1,""))</f>
        <v>16</v>
      </c>
      <c r="L47" s="668" t="str">
        <f t="shared" ref="L47:L72" si="27">IF(OR(B47="",B47=0),"",IF(AND(DATEDIF($F47,L$6,"m")-$G47*12=12,$G47&gt;=4),$G47+1,""))</f>
        <v/>
      </c>
      <c r="M47" s="668" t="str">
        <f t="shared" ref="M47:M72" si="28">IF(OR(B47="",B47=0),"",IF(AND(DATEDIF($F47,M$6,"m")-$G47*12=12,$G47&gt;=4),$G47+1,""))</f>
        <v/>
      </c>
      <c r="N47" s="668" t="str">
        <f t="shared" ref="N47:N72" si="29">IF(OR(B47="",B47=0),"",IF(AND(DATEDIF($F47,N$6,"m")-$G47*12=12,$G47&gt;=4),$G47+1,""))</f>
        <v/>
      </c>
      <c r="O47" s="668" t="str">
        <f t="shared" ref="O47:O72" si="30">IF(OR(B47="",B47=0),"",IF(AND(DATEDIF($F47,O$6,"m")-$G47*12=12,$G47&gt;=4),$G47+1,""))</f>
        <v/>
      </c>
      <c r="P47" s="668" t="str">
        <f t="shared" ref="P47:P72" si="31">IF(OR(B47="",B47=0),"",IF(AND(DATEDIF($F47,P$6,"m")-$G47*12=12,$G47&gt;=4),$G47+1,""))</f>
        <v/>
      </c>
      <c r="Q47" s="668" t="str">
        <f t="shared" ref="Q47:Q72" si="32">IF(OR(B47="",B47=0),"",IF(AND(DATEDIF($F47,Q$6,"m")-$G47*12=12,$G47&gt;=4),$G47+1,""))</f>
        <v/>
      </c>
      <c r="R47" s="668" t="str">
        <f t="shared" ref="R47:R72" si="33">IF(OR(B47="",B47=0),"",IF(AND(DATEDIF($F47,R$6,"m")-$G47*12=12,$G47&gt;=4),$G47+1,""))</f>
        <v/>
      </c>
      <c r="S47" s="668" t="str">
        <f t="shared" ref="S47:S72" si="34">IF(OR(B47="",B47=0),"",IF(AND(DATEDIF($F47,S$6,"m")-$G47*12=12,$G47&gt;=4),$G47+1,""))</f>
        <v/>
      </c>
      <c r="T47" s="668" t="str">
        <f t="shared" ref="T47:T72" si="35">IF(OR(B47="",B47=0),"",IF(AND(DATEDIF($F47,T$6,"m")-$G47*12=12,$G47&gt;=4),$G47+1,""))</f>
        <v/>
      </c>
    </row>
    <row r="48" spans="1:20" s="7" customFormat="1" ht="13.5" customHeight="1" x14ac:dyDescent="0.25">
      <c r="A48" s="296">
        <f>IF(B48=0,0,MAX($A$8:A47)+1)</f>
        <v>41</v>
      </c>
      <c r="B48" s="297" t="str">
        <f>NSTonghop!F48</f>
        <v>Hồ Thị Cẩm Thu</v>
      </c>
      <c r="C48" s="297" t="str">
        <f>NSTonghop!G48</f>
        <v>x</v>
      </c>
      <c r="D48" s="298" t="str">
        <f>IF(C48=0,NSTonghop!H48,NSTonghop!I48)</f>
        <v>26/12/1967</v>
      </c>
      <c r="E48" s="302" t="str">
        <f>NSTonghop!AN48</f>
        <v>01/03/1992</v>
      </c>
      <c r="F48" s="299" t="str">
        <f t="shared" si="21"/>
        <v>01/03/1992</v>
      </c>
      <c r="G48" s="300">
        <f t="shared" si="22"/>
        <v>27</v>
      </c>
      <c r="H48" s="301">
        <f t="shared" si="23"/>
        <v>10</v>
      </c>
      <c r="I48" s="668" t="str">
        <f t="shared" si="24"/>
        <v/>
      </c>
      <c r="J48" s="668" t="str">
        <f t="shared" si="25"/>
        <v/>
      </c>
      <c r="K48" s="668">
        <f t="shared" si="26"/>
        <v>28</v>
      </c>
      <c r="L48" s="668" t="str">
        <f t="shared" si="27"/>
        <v/>
      </c>
      <c r="M48" s="668" t="str">
        <f t="shared" si="28"/>
        <v/>
      </c>
      <c r="N48" s="668" t="str">
        <f t="shared" si="29"/>
        <v/>
      </c>
      <c r="O48" s="668" t="str">
        <f t="shared" si="30"/>
        <v/>
      </c>
      <c r="P48" s="668" t="str">
        <f t="shared" si="31"/>
        <v/>
      </c>
      <c r="Q48" s="668" t="str">
        <f t="shared" si="32"/>
        <v/>
      </c>
      <c r="R48" s="668" t="str">
        <f t="shared" si="33"/>
        <v/>
      </c>
      <c r="S48" s="668" t="str">
        <f t="shared" si="34"/>
        <v/>
      </c>
      <c r="T48" s="668" t="str">
        <f t="shared" si="35"/>
        <v/>
      </c>
    </row>
    <row r="49" spans="1:20" s="7" customFormat="1" ht="13.5" customHeight="1" x14ac:dyDescent="0.25">
      <c r="A49" s="296">
        <f>IF(B49=0,0,MAX($A$8:A48)+1)</f>
        <v>42</v>
      </c>
      <c r="B49" s="297" t="str">
        <f>NSTonghop!F49</f>
        <v>Võ Trọng Phê</v>
      </c>
      <c r="C49" s="297">
        <f>NSTonghop!G49</f>
        <v>0</v>
      </c>
      <c r="D49" s="298" t="str">
        <f>IF(C49=0,NSTonghop!H49,NSTonghop!I49)</f>
        <v>09/03/1960</v>
      </c>
      <c r="E49" s="302" t="str">
        <f>NSTonghop!AN49</f>
        <v>01/05/1984</v>
      </c>
      <c r="F49" s="299" t="str">
        <f t="shared" si="21"/>
        <v>01/05/1984</v>
      </c>
      <c r="G49" s="300">
        <f t="shared" si="22"/>
        <v>35</v>
      </c>
      <c r="H49" s="301">
        <f t="shared" si="23"/>
        <v>8</v>
      </c>
      <c r="I49" s="700"/>
      <c r="J49" s="700"/>
      <c r="K49" s="700"/>
      <c r="L49" s="700"/>
      <c r="M49" s="700"/>
      <c r="N49" s="700"/>
      <c r="O49" s="700"/>
      <c r="P49" s="700"/>
      <c r="Q49" s="700"/>
      <c r="R49" s="700"/>
      <c r="S49" s="700"/>
      <c r="T49" s="700"/>
    </row>
    <row r="50" spans="1:20" s="7" customFormat="1" ht="13.5" customHeight="1" x14ac:dyDescent="0.25">
      <c r="A50" s="296">
        <f>IF(B50=0,0,MAX($A$8:A49)+1)</f>
        <v>43</v>
      </c>
      <c r="B50" s="297" t="str">
        <f>NSTonghop!F50</f>
        <v>Lê Thị Bích Ngọc</v>
      </c>
      <c r="C50" s="297" t="str">
        <f>NSTonghop!G50</f>
        <v>x</v>
      </c>
      <c r="D50" s="298" t="str">
        <f>IF(C50=0,NSTonghop!H50,NSTonghop!I50)</f>
        <v>08/10/1979</v>
      </c>
      <c r="E50" s="302" t="str">
        <f>NSTonghop!AN50</f>
        <v>01/03/2002</v>
      </c>
      <c r="F50" s="299" t="str">
        <f t="shared" si="21"/>
        <v>01/03/2002</v>
      </c>
      <c r="G50" s="300">
        <f t="shared" si="22"/>
        <v>17</v>
      </c>
      <c r="H50" s="301">
        <f t="shared" si="23"/>
        <v>10</v>
      </c>
      <c r="I50" s="668" t="str">
        <f t="shared" si="24"/>
        <v/>
      </c>
      <c r="J50" s="668" t="str">
        <f t="shared" si="25"/>
        <v/>
      </c>
      <c r="K50" s="668">
        <f t="shared" si="26"/>
        <v>18</v>
      </c>
      <c r="L50" s="668" t="str">
        <f t="shared" si="27"/>
        <v/>
      </c>
      <c r="M50" s="668" t="str">
        <f t="shared" si="28"/>
        <v/>
      </c>
      <c r="N50" s="668" t="str">
        <f t="shared" si="29"/>
        <v/>
      </c>
      <c r="O50" s="668" t="str">
        <f t="shared" si="30"/>
        <v/>
      </c>
      <c r="P50" s="668" t="str">
        <f t="shared" si="31"/>
        <v/>
      </c>
      <c r="Q50" s="668" t="str">
        <f t="shared" si="32"/>
        <v/>
      </c>
      <c r="R50" s="668" t="str">
        <f t="shared" si="33"/>
        <v/>
      </c>
      <c r="S50" s="668" t="str">
        <f t="shared" si="34"/>
        <v/>
      </c>
      <c r="T50" s="668" t="str">
        <f t="shared" si="35"/>
        <v/>
      </c>
    </row>
    <row r="51" spans="1:20" s="7" customFormat="1" ht="13.5" customHeight="1" x14ac:dyDescent="0.25">
      <c r="A51" s="296">
        <f>IF(B51=0,0,MAX($A$8:A50)+1)</f>
        <v>44</v>
      </c>
      <c r="B51" s="297" t="str">
        <f>NSTonghop!F51</f>
        <v>Nguyễn Thị Thùy Linh</v>
      </c>
      <c r="C51" s="297" t="str">
        <f>NSTonghop!G51</f>
        <v>x</v>
      </c>
      <c r="D51" s="298" t="str">
        <f>IF(C51=0,NSTonghop!H51,NSTonghop!I51)</f>
        <v>14/07/1980</v>
      </c>
      <c r="E51" s="302" t="str">
        <f>NSTonghop!AN51</f>
        <v>01/03/2003</v>
      </c>
      <c r="F51" s="299" t="str">
        <f t="shared" si="21"/>
        <v>01/03/2003</v>
      </c>
      <c r="G51" s="300">
        <f t="shared" si="22"/>
        <v>16</v>
      </c>
      <c r="H51" s="301">
        <f t="shared" si="23"/>
        <v>10</v>
      </c>
      <c r="I51" s="668" t="str">
        <f t="shared" si="24"/>
        <v/>
      </c>
      <c r="J51" s="668" t="str">
        <f t="shared" si="25"/>
        <v/>
      </c>
      <c r="K51" s="668">
        <f t="shared" si="26"/>
        <v>17</v>
      </c>
      <c r="L51" s="668" t="str">
        <f t="shared" si="27"/>
        <v/>
      </c>
      <c r="M51" s="668" t="str">
        <f t="shared" si="28"/>
        <v/>
      </c>
      <c r="N51" s="668" t="str">
        <f t="shared" si="29"/>
        <v/>
      </c>
      <c r="O51" s="668" t="str">
        <f t="shared" si="30"/>
        <v/>
      </c>
      <c r="P51" s="668" t="str">
        <f t="shared" si="31"/>
        <v/>
      </c>
      <c r="Q51" s="668" t="str">
        <f t="shared" si="32"/>
        <v/>
      </c>
      <c r="R51" s="668" t="str">
        <f t="shared" si="33"/>
        <v/>
      </c>
      <c r="S51" s="668" t="str">
        <f t="shared" si="34"/>
        <v/>
      </c>
      <c r="T51" s="668" t="str">
        <f t="shared" si="35"/>
        <v/>
      </c>
    </row>
    <row r="52" spans="1:20" s="7" customFormat="1" ht="13.5" customHeight="1" x14ac:dyDescent="0.25">
      <c r="A52" s="296">
        <f>IF(B52=0,0,MAX($A$8:A51)+1)</f>
        <v>45</v>
      </c>
      <c r="B52" s="297" t="str">
        <f>NSTonghop!F52</f>
        <v>Trịnh Xuân Văn</v>
      </c>
      <c r="C52" s="297">
        <f>NSTonghop!G52</f>
        <v>0</v>
      </c>
      <c r="D52" s="298" t="str">
        <f>IF(C52=0,NSTonghop!H52,NSTonghop!I52)</f>
        <v>27/12/1984</v>
      </c>
      <c r="E52" s="302" t="str">
        <f>NSTonghop!AN52</f>
        <v>01/09/2008</v>
      </c>
      <c r="F52" s="299" t="str">
        <f t="shared" si="21"/>
        <v>01/09/2008</v>
      </c>
      <c r="G52" s="300">
        <f t="shared" si="22"/>
        <v>11</v>
      </c>
      <c r="H52" s="301">
        <f t="shared" si="23"/>
        <v>4</v>
      </c>
      <c r="I52" s="668" t="str">
        <f t="shared" si="24"/>
        <v/>
      </c>
      <c r="J52" s="668" t="str">
        <f t="shared" si="25"/>
        <v/>
      </c>
      <c r="K52" s="668" t="str">
        <f t="shared" si="26"/>
        <v/>
      </c>
      <c r="L52" s="668" t="str">
        <f t="shared" si="27"/>
        <v/>
      </c>
      <c r="M52" s="668" t="str">
        <f t="shared" si="28"/>
        <v/>
      </c>
      <c r="N52" s="668" t="str">
        <f t="shared" si="29"/>
        <v/>
      </c>
      <c r="O52" s="668" t="str">
        <f t="shared" si="30"/>
        <v/>
      </c>
      <c r="P52" s="668" t="str">
        <f t="shared" si="31"/>
        <v/>
      </c>
      <c r="Q52" s="668">
        <f t="shared" si="32"/>
        <v>12</v>
      </c>
      <c r="R52" s="668" t="str">
        <f t="shared" si="33"/>
        <v/>
      </c>
      <c r="S52" s="668" t="str">
        <f t="shared" si="34"/>
        <v/>
      </c>
      <c r="T52" s="668" t="str">
        <f t="shared" si="35"/>
        <v/>
      </c>
    </row>
    <row r="53" spans="1:20" s="7" customFormat="1" ht="13.5" customHeight="1" x14ac:dyDescent="0.25">
      <c r="A53" s="296">
        <f>IF(B53=0,0,MAX($A$8:A52)+1)</f>
        <v>46</v>
      </c>
      <c r="B53" s="297" t="str">
        <f>NSTonghop!F53</f>
        <v>Trần Thị Mành</v>
      </c>
      <c r="C53" s="297" t="str">
        <f>NSTonghop!G53</f>
        <v>x</v>
      </c>
      <c r="D53" s="298" t="str">
        <f>IF(C53=0,NSTonghop!H53,NSTonghop!I53)</f>
        <v>24/07/1969</v>
      </c>
      <c r="E53" s="302" t="str">
        <f>NSTonghop!AN53</f>
        <v>15/10/1991</v>
      </c>
      <c r="F53" s="640" t="s">
        <v>846</v>
      </c>
      <c r="G53" s="300">
        <f t="shared" si="22"/>
        <v>28</v>
      </c>
      <c r="H53" s="301">
        <f t="shared" si="23"/>
        <v>3</v>
      </c>
      <c r="I53" s="668" t="str">
        <f t="shared" si="24"/>
        <v/>
      </c>
      <c r="J53" s="668" t="str">
        <f t="shared" si="25"/>
        <v/>
      </c>
      <c r="K53" s="668" t="str">
        <f t="shared" si="26"/>
        <v/>
      </c>
      <c r="L53" s="668" t="str">
        <f t="shared" si="27"/>
        <v/>
      </c>
      <c r="M53" s="668" t="str">
        <f t="shared" si="28"/>
        <v/>
      </c>
      <c r="N53" s="668" t="str">
        <f t="shared" si="29"/>
        <v/>
      </c>
      <c r="O53" s="668" t="str">
        <f t="shared" si="30"/>
        <v/>
      </c>
      <c r="P53" s="668" t="str">
        <f t="shared" si="31"/>
        <v/>
      </c>
      <c r="Q53" s="668" t="str">
        <f t="shared" si="32"/>
        <v/>
      </c>
      <c r="R53" s="668">
        <f t="shared" si="33"/>
        <v>29</v>
      </c>
      <c r="S53" s="668" t="str">
        <f t="shared" si="34"/>
        <v/>
      </c>
      <c r="T53" s="668" t="str">
        <f t="shared" si="35"/>
        <v/>
      </c>
    </row>
    <row r="54" spans="1:20" s="7" customFormat="1" ht="13.5" customHeight="1" x14ac:dyDescent="0.25">
      <c r="A54" s="296">
        <f>IF(B54=0,0,MAX($A$8:A53)+1)</f>
        <v>47</v>
      </c>
      <c r="B54" s="297" t="str">
        <f>NSTonghop!F54</f>
        <v>Cao Thị Uyên Thanh</v>
      </c>
      <c r="C54" s="297" t="str">
        <f>NSTonghop!G54</f>
        <v>x</v>
      </c>
      <c r="D54" s="298" t="str">
        <f>IF(C54=0,NSTonghop!H54,NSTonghop!I54)</f>
        <v>10/03/1969</v>
      </c>
      <c r="E54" s="302" t="str">
        <f>NSTonghop!AN54</f>
        <v>20/12/1990</v>
      </c>
      <c r="F54" s="299" t="str">
        <f t="shared" si="21"/>
        <v>20/12/1990</v>
      </c>
      <c r="G54" s="300">
        <f t="shared" si="22"/>
        <v>29</v>
      </c>
      <c r="H54" s="301">
        <f t="shared" si="23"/>
        <v>0</v>
      </c>
      <c r="I54" s="668">
        <f t="shared" si="24"/>
        <v>29</v>
      </c>
      <c r="J54" s="668" t="str">
        <f t="shared" si="25"/>
        <v/>
      </c>
      <c r="K54" s="668" t="str">
        <f t="shared" si="26"/>
        <v/>
      </c>
      <c r="L54" s="668" t="str">
        <f t="shared" si="27"/>
        <v/>
      </c>
      <c r="M54" s="668" t="str">
        <f t="shared" si="28"/>
        <v/>
      </c>
      <c r="N54" s="668" t="str">
        <f t="shared" si="29"/>
        <v/>
      </c>
      <c r="O54" s="668" t="str">
        <f t="shared" si="30"/>
        <v/>
      </c>
      <c r="P54" s="668" t="str">
        <f t="shared" si="31"/>
        <v/>
      </c>
      <c r="Q54" s="668" t="str">
        <f t="shared" si="32"/>
        <v/>
      </c>
      <c r="R54" s="668" t="str">
        <f t="shared" si="33"/>
        <v/>
      </c>
      <c r="S54" s="668" t="str">
        <f t="shared" si="34"/>
        <v/>
      </c>
      <c r="T54" s="668" t="str">
        <f t="shared" si="35"/>
        <v/>
      </c>
    </row>
    <row r="55" spans="1:20" s="7" customFormat="1" ht="13.5" customHeight="1" x14ac:dyDescent="0.25">
      <c r="A55" s="296">
        <f>IF(B55=0,0,MAX($A$8:A54)+1)</f>
        <v>48</v>
      </c>
      <c r="B55" s="297" t="str">
        <f>NSTonghop!F55</f>
        <v>Lê Thị Hương Trang</v>
      </c>
      <c r="C55" s="297" t="str">
        <f>NSTonghop!G55</f>
        <v>x</v>
      </c>
      <c r="D55" s="298" t="str">
        <f>IF(C55=0,NSTonghop!H55,NSTonghop!I55)</f>
        <v>03/01/1982</v>
      </c>
      <c r="E55" s="302" t="str">
        <f>NSTonghop!AN55</f>
        <v>01/03/2004</v>
      </c>
      <c r="F55" s="299" t="str">
        <f t="shared" si="21"/>
        <v>01/03/2004</v>
      </c>
      <c r="G55" s="300">
        <f t="shared" si="22"/>
        <v>15</v>
      </c>
      <c r="H55" s="301">
        <f t="shared" si="23"/>
        <v>10</v>
      </c>
      <c r="I55" s="668" t="str">
        <f t="shared" si="24"/>
        <v/>
      </c>
      <c r="J55" s="668" t="str">
        <f t="shared" si="25"/>
        <v/>
      </c>
      <c r="K55" s="668">
        <f t="shared" si="26"/>
        <v>16</v>
      </c>
      <c r="L55" s="668" t="str">
        <f t="shared" si="27"/>
        <v/>
      </c>
      <c r="M55" s="668" t="str">
        <f t="shared" si="28"/>
        <v/>
      </c>
      <c r="N55" s="668" t="str">
        <f t="shared" si="29"/>
        <v/>
      </c>
      <c r="O55" s="668" t="str">
        <f t="shared" si="30"/>
        <v/>
      </c>
      <c r="P55" s="668" t="str">
        <f t="shared" si="31"/>
        <v/>
      </c>
      <c r="Q55" s="668" t="str">
        <f t="shared" si="32"/>
        <v/>
      </c>
      <c r="R55" s="668" t="str">
        <f t="shared" si="33"/>
        <v/>
      </c>
      <c r="S55" s="668" t="str">
        <f t="shared" si="34"/>
        <v/>
      </c>
      <c r="T55" s="668" t="str">
        <f t="shared" si="35"/>
        <v/>
      </c>
    </row>
    <row r="56" spans="1:20" s="7" customFormat="1" ht="13.5" customHeight="1" x14ac:dyDescent="0.25">
      <c r="A56" s="296">
        <f>IF(B56=0,0,MAX($A$8:A55)+1)</f>
        <v>49</v>
      </c>
      <c r="B56" s="297" t="str">
        <f>NSTonghop!F56</f>
        <v>Trần Thiện Ý</v>
      </c>
      <c r="C56" s="297">
        <f>NSTonghop!G56</f>
        <v>0</v>
      </c>
      <c r="D56" s="298" t="str">
        <f>IF(C56=0,NSTonghop!H56,NSTonghop!I56)</f>
        <v>16/06/1986</v>
      </c>
      <c r="E56" s="302" t="str">
        <f>NSTonghop!AN56</f>
        <v>01/09/2010</v>
      </c>
      <c r="F56" s="299" t="str">
        <f t="shared" si="21"/>
        <v>01/09/2010</v>
      </c>
      <c r="G56" s="300">
        <f t="shared" si="22"/>
        <v>9</v>
      </c>
      <c r="H56" s="301">
        <f t="shared" si="23"/>
        <v>4</v>
      </c>
      <c r="I56" s="668" t="str">
        <f t="shared" si="24"/>
        <v/>
      </c>
      <c r="J56" s="668" t="str">
        <f t="shared" si="25"/>
        <v/>
      </c>
      <c r="K56" s="668" t="str">
        <f t="shared" si="26"/>
        <v/>
      </c>
      <c r="L56" s="668" t="str">
        <f t="shared" si="27"/>
        <v/>
      </c>
      <c r="M56" s="668" t="str">
        <f t="shared" si="28"/>
        <v/>
      </c>
      <c r="N56" s="668" t="str">
        <f t="shared" si="29"/>
        <v/>
      </c>
      <c r="O56" s="668" t="str">
        <f t="shared" si="30"/>
        <v/>
      </c>
      <c r="P56" s="668" t="str">
        <f t="shared" si="31"/>
        <v/>
      </c>
      <c r="Q56" s="668">
        <f t="shared" si="32"/>
        <v>10</v>
      </c>
      <c r="R56" s="668" t="str">
        <f t="shared" si="33"/>
        <v/>
      </c>
      <c r="S56" s="668" t="str">
        <f t="shared" si="34"/>
        <v/>
      </c>
      <c r="T56" s="668" t="str">
        <f t="shared" si="35"/>
        <v/>
      </c>
    </row>
    <row r="57" spans="1:20" s="7" customFormat="1" ht="13.5" customHeight="1" x14ac:dyDescent="0.25">
      <c r="A57" s="296">
        <f>IF(B57=0,0,MAX($A$8:A56)+1)</f>
        <v>50</v>
      </c>
      <c r="B57" s="297" t="str">
        <f>NSTonghop!F57</f>
        <v>Đoàn Tô Ngọc Hương</v>
      </c>
      <c r="C57" s="297" t="str">
        <f>NSTonghop!G57</f>
        <v>x</v>
      </c>
      <c r="D57" s="298" t="str">
        <f>IF(C57=0,NSTonghop!H57,NSTonghop!I57)</f>
        <v>28/07/1981</v>
      </c>
      <c r="E57" s="302" t="str">
        <f>NSTonghop!AN57</f>
        <v>01/03/2004</v>
      </c>
      <c r="F57" s="299" t="str">
        <f t="shared" si="21"/>
        <v>01/03/2004</v>
      </c>
      <c r="G57" s="300">
        <f t="shared" si="22"/>
        <v>15</v>
      </c>
      <c r="H57" s="301">
        <f t="shared" si="23"/>
        <v>10</v>
      </c>
      <c r="I57" s="668" t="str">
        <f t="shared" si="24"/>
        <v/>
      </c>
      <c r="J57" s="668" t="str">
        <f t="shared" si="25"/>
        <v/>
      </c>
      <c r="K57" s="668">
        <f t="shared" si="26"/>
        <v>16</v>
      </c>
      <c r="L57" s="668" t="str">
        <f t="shared" si="27"/>
        <v/>
      </c>
      <c r="M57" s="668" t="str">
        <f t="shared" si="28"/>
        <v/>
      </c>
      <c r="N57" s="668" t="str">
        <f t="shared" si="29"/>
        <v/>
      </c>
      <c r="O57" s="668" t="str">
        <f t="shared" si="30"/>
        <v/>
      </c>
      <c r="P57" s="668" t="str">
        <f t="shared" si="31"/>
        <v/>
      </c>
      <c r="Q57" s="668" t="str">
        <f t="shared" si="32"/>
        <v/>
      </c>
      <c r="R57" s="668" t="str">
        <f t="shared" si="33"/>
        <v/>
      </c>
      <c r="S57" s="668" t="str">
        <f t="shared" si="34"/>
        <v/>
      </c>
      <c r="T57" s="668" t="str">
        <f t="shared" si="35"/>
        <v/>
      </c>
    </row>
    <row r="58" spans="1:20" s="7" customFormat="1" ht="13.5" customHeight="1" x14ac:dyDescent="0.25">
      <c r="A58" s="296">
        <f>IF(B58=0,0,MAX($A$8:A57)+1)</f>
        <v>51</v>
      </c>
      <c r="B58" s="297" t="str">
        <f>NSTonghop!F58</f>
        <v>Huỳnh Thị Bích Vân</v>
      </c>
      <c r="C58" s="297" t="str">
        <f>NSTonghop!G58</f>
        <v>x</v>
      </c>
      <c r="D58" s="298" t="str">
        <f>IF(C58=0,NSTonghop!H58,NSTonghop!I58)</f>
        <v>29/06/1966</v>
      </c>
      <c r="E58" s="302" t="str">
        <f>NSTonghop!AN58</f>
        <v>01/10/1991</v>
      </c>
      <c r="F58" s="299" t="str">
        <f t="shared" si="21"/>
        <v>01/10/1991</v>
      </c>
      <c r="G58" s="300">
        <f t="shared" si="22"/>
        <v>28</v>
      </c>
      <c r="H58" s="301">
        <f t="shared" si="23"/>
        <v>3</v>
      </c>
      <c r="I58" s="668" t="str">
        <f t="shared" si="24"/>
        <v/>
      </c>
      <c r="J58" s="668" t="str">
        <f t="shared" si="25"/>
        <v/>
      </c>
      <c r="K58" s="668" t="str">
        <f t="shared" si="26"/>
        <v/>
      </c>
      <c r="L58" s="668" t="str">
        <f t="shared" si="27"/>
        <v/>
      </c>
      <c r="M58" s="668" t="str">
        <f t="shared" si="28"/>
        <v/>
      </c>
      <c r="N58" s="668" t="str">
        <f t="shared" si="29"/>
        <v/>
      </c>
      <c r="O58" s="668" t="str">
        <f t="shared" si="30"/>
        <v/>
      </c>
      <c r="P58" s="668" t="str">
        <f t="shared" si="31"/>
        <v/>
      </c>
      <c r="Q58" s="668" t="str">
        <f t="shared" si="32"/>
        <v/>
      </c>
      <c r="R58" s="668">
        <f t="shared" si="33"/>
        <v>29</v>
      </c>
      <c r="S58" s="668" t="str">
        <f t="shared" si="34"/>
        <v/>
      </c>
      <c r="T58" s="668" t="str">
        <f t="shared" si="35"/>
        <v/>
      </c>
    </row>
    <row r="59" spans="1:20" s="7" customFormat="1" ht="13.5" customHeight="1" x14ac:dyDescent="0.25">
      <c r="A59" s="296">
        <f>IF(B59=0,0,MAX($A$8:A58)+1)</f>
        <v>52</v>
      </c>
      <c r="B59" s="297" t="str">
        <f>NSTonghop!F59</f>
        <v>Phạm Minh Hiếu</v>
      </c>
      <c r="C59" s="297">
        <f>NSTonghop!G59</f>
        <v>0</v>
      </c>
      <c r="D59" s="298" t="str">
        <f>IF(C59=0,NSTonghop!H59,NSTonghop!I59)</f>
        <v>09/02/1979</v>
      </c>
      <c r="E59" s="302" t="str">
        <f>NSTonghop!AN59</f>
        <v>01/04/2000</v>
      </c>
      <c r="F59" s="299" t="str">
        <f t="shared" si="21"/>
        <v>01/04/2000</v>
      </c>
      <c r="G59" s="300">
        <f t="shared" si="22"/>
        <v>19</v>
      </c>
      <c r="H59" s="301">
        <f t="shared" si="23"/>
        <v>9</v>
      </c>
      <c r="I59" s="668" t="str">
        <f t="shared" si="24"/>
        <v/>
      </c>
      <c r="J59" s="668" t="str">
        <f t="shared" si="25"/>
        <v/>
      </c>
      <c r="K59" s="668" t="str">
        <f t="shared" si="26"/>
        <v/>
      </c>
      <c r="L59" s="668">
        <f t="shared" si="27"/>
        <v>20</v>
      </c>
      <c r="M59" s="668" t="str">
        <f t="shared" si="28"/>
        <v/>
      </c>
      <c r="N59" s="668" t="str">
        <f t="shared" si="29"/>
        <v/>
      </c>
      <c r="O59" s="668" t="str">
        <f t="shared" si="30"/>
        <v/>
      </c>
      <c r="P59" s="668" t="str">
        <f t="shared" si="31"/>
        <v/>
      </c>
      <c r="Q59" s="668" t="str">
        <f t="shared" si="32"/>
        <v/>
      </c>
      <c r="R59" s="668" t="str">
        <f t="shared" si="33"/>
        <v/>
      </c>
      <c r="S59" s="668" t="str">
        <f t="shared" si="34"/>
        <v/>
      </c>
      <c r="T59" s="668" t="str">
        <f t="shared" si="35"/>
        <v/>
      </c>
    </row>
    <row r="60" spans="1:20" s="7" customFormat="1" ht="13.5" customHeight="1" x14ac:dyDescent="0.25">
      <c r="A60" s="296">
        <f>IF(B60=0,0,MAX($A$8:A59)+1)</f>
        <v>53</v>
      </c>
      <c r="B60" s="297" t="str">
        <f>NSTonghop!F60</f>
        <v>Phạm Thị Hồng</v>
      </c>
      <c r="C60" s="297" t="str">
        <f>NSTonghop!G60</f>
        <v>x</v>
      </c>
      <c r="D60" s="298" t="str">
        <f>IF(C60=0,NSTonghop!H60,NSTonghop!I60)</f>
        <v>24/05/1966</v>
      </c>
      <c r="E60" s="302" t="str">
        <f>NSTonghop!AN60</f>
        <v>01/05/1990</v>
      </c>
      <c r="F60" s="299" t="str">
        <f t="shared" si="21"/>
        <v>01/05/1990</v>
      </c>
      <c r="G60" s="300">
        <f t="shared" si="22"/>
        <v>29</v>
      </c>
      <c r="H60" s="301">
        <f t="shared" si="23"/>
        <v>8</v>
      </c>
      <c r="I60" s="668" t="str">
        <f t="shared" si="24"/>
        <v/>
      </c>
      <c r="J60" s="668" t="str">
        <f t="shared" si="25"/>
        <v/>
      </c>
      <c r="K60" s="668" t="str">
        <f t="shared" si="26"/>
        <v/>
      </c>
      <c r="L60" s="668" t="str">
        <f t="shared" si="27"/>
        <v/>
      </c>
      <c r="M60" s="668">
        <f t="shared" si="28"/>
        <v>30</v>
      </c>
      <c r="N60" s="668" t="str">
        <f t="shared" si="29"/>
        <v/>
      </c>
      <c r="O60" s="668" t="str">
        <f t="shared" si="30"/>
        <v/>
      </c>
      <c r="P60" s="668" t="str">
        <f t="shared" si="31"/>
        <v/>
      </c>
      <c r="Q60" s="668" t="str">
        <f t="shared" si="32"/>
        <v/>
      </c>
      <c r="R60" s="668" t="str">
        <f t="shared" si="33"/>
        <v/>
      </c>
      <c r="S60" s="668" t="str">
        <f t="shared" si="34"/>
        <v/>
      </c>
      <c r="T60" s="668" t="str">
        <f t="shared" si="35"/>
        <v/>
      </c>
    </row>
    <row r="61" spans="1:20" s="7" customFormat="1" ht="13.5" customHeight="1" x14ac:dyDescent="0.25">
      <c r="A61" s="296">
        <f>IF(B61=0,0,MAX($A$8:A60)+1)</f>
        <v>54</v>
      </c>
      <c r="B61" s="297" t="str">
        <f>NSTonghop!F61</f>
        <v>Nguyễn Thị Hồng Gấm</v>
      </c>
      <c r="C61" s="297" t="str">
        <f>NSTonghop!G61</f>
        <v>x</v>
      </c>
      <c r="D61" s="298" t="str">
        <f>IF(C61=0,NSTonghop!H61,NSTonghop!I61)</f>
        <v>14/12/1991</v>
      </c>
      <c r="E61" s="302">
        <f>NSTonghop!AN61</f>
        <v>0</v>
      </c>
      <c r="F61" s="299">
        <f t="shared" si="21"/>
        <v>0</v>
      </c>
      <c r="G61" s="300">
        <f t="shared" si="22"/>
        <v>120</v>
      </c>
      <c r="H61" s="301">
        <f t="shared" si="23"/>
        <v>0</v>
      </c>
      <c r="I61" s="668">
        <f t="shared" si="24"/>
        <v>120</v>
      </c>
      <c r="J61" s="668" t="str">
        <f t="shared" si="25"/>
        <v/>
      </c>
      <c r="K61" s="668" t="str">
        <f t="shared" si="26"/>
        <v/>
      </c>
      <c r="L61" s="668" t="str">
        <f t="shared" si="27"/>
        <v/>
      </c>
      <c r="M61" s="668" t="str">
        <f t="shared" si="28"/>
        <v/>
      </c>
      <c r="N61" s="668" t="str">
        <f t="shared" si="29"/>
        <v/>
      </c>
      <c r="O61" s="668" t="str">
        <f t="shared" si="30"/>
        <v/>
      </c>
      <c r="P61" s="668" t="str">
        <f t="shared" si="31"/>
        <v/>
      </c>
      <c r="Q61" s="668" t="str">
        <f t="shared" si="32"/>
        <v/>
      </c>
      <c r="R61" s="668" t="str">
        <f t="shared" si="33"/>
        <v/>
      </c>
      <c r="S61" s="668" t="str">
        <f t="shared" si="34"/>
        <v/>
      </c>
      <c r="T61" s="668" t="str">
        <f t="shared" si="35"/>
        <v/>
      </c>
    </row>
    <row r="62" spans="1:20" s="7" customFormat="1" ht="13.5" customHeight="1" x14ac:dyDescent="0.25">
      <c r="A62" s="296">
        <f>IF(B62=0,0,MAX($A$8:A61)+1)</f>
        <v>55</v>
      </c>
      <c r="B62" s="297" t="str">
        <f>NSTonghop!F62</f>
        <v>Trần Thị Ngọc Hiền</v>
      </c>
      <c r="C62" s="297" t="str">
        <f>NSTonghop!G62</f>
        <v>x</v>
      </c>
      <c r="D62" s="298" t="str">
        <f>IF(C62=0,NSTonghop!H62,NSTonghop!I62)</f>
        <v>16/07/1989</v>
      </c>
      <c r="E62" s="302" t="str">
        <f>NSTonghop!AN62</f>
        <v>01/09/2013</v>
      </c>
      <c r="F62" s="299" t="str">
        <f t="shared" si="21"/>
        <v>01/09/2013</v>
      </c>
      <c r="G62" s="300">
        <f t="shared" si="22"/>
        <v>6</v>
      </c>
      <c r="H62" s="301">
        <f t="shared" si="23"/>
        <v>4</v>
      </c>
      <c r="I62" s="668" t="str">
        <f t="shared" si="24"/>
        <v/>
      </c>
      <c r="J62" s="668" t="str">
        <f t="shared" si="25"/>
        <v/>
      </c>
      <c r="K62" s="668" t="str">
        <f t="shared" si="26"/>
        <v/>
      </c>
      <c r="L62" s="668" t="str">
        <f t="shared" si="27"/>
        <v/>
      </c>
      <c r="M62" s="668" t="str">
        <f t="shared" si="28"/>
        <v/>
      </c>
      <c r="N62" s="668" t="str">
        <f t="shared" si="29"/>
        <v/>
      </c>
      <c r="O62" s="668" t="str">
        <f t="shared" si="30"/>
        <v/>
      </c>
      <c r="P62" s="668" t="str">
        <f t="shared" si="31"/>
        <v/>
      </c>
      <c r="Q62" s="668">
        <f t="shared" si="32"/>
        <v>7</v>
      </c>
      <c r="R62" s="668" t="str">
        <f t="shared" si="33"/>
        <v/>
      </c>
      <c r="S62" s="668" t="str">
        <f t="shared" si="34"/>
        <v/>
      </c>
      <c r="T62" s="668" t="str">
        <f t="shared" si="35"/>
        <v/>
      </c>
    </row>
    <row r="63" spans="1:20" s="7" customFormat="1" ht="13.5" customHeight="1" x14ac:dyDescent="0.25">
      <c r="A63" s="296">
        <f>IF(B63=0,0,MAX($A$8:A62)+1)</f>
        <v>56</v>
      </c>
      <c r="B63" s="297" t="str">
        <f>NSTonghop!F63</f>
        <v>Lê Văn Có</v>
      </c>
      <c r="C63" s="297">
        <f>NSTonghop!G63</f>
        <v>0</v>
      </c>
      <c r="D63" s="298" t="str">
        <f>IF(C63=0,NSTonghop!H63,NSTonghop!I63)</f>
        <v>05/11/1987</v>
      </c>
      <c r="E63" s="302" t="str">
        <f>NSTonghop!AN63</f>
        <v>01/09/2010</v>
      </c>
      <c r="F63" s="299" t="str">
        <f t="shared" si="21"/>
        <v>01/09/2010</v>
      </c>
      <c r="G63" s="300">
        <f t="shared" si="22"/>
        <v>9</v>
      </c>
      <c r="H63" s="301">
        <f t="shared" si="23"/>
        <v>4</v>
      </c>
      <c r="I63" s="668" t="str">
        <f t="shared" si="24"/>
        <v/>
      </c>
      <c r="J63" s="668" t="str">
        <f t="shared" si="25"/>
        <v/>
      </c>
      <c r="K63" s="668" t="str">
        <f t="shared" si="26"/>
        <v/>
      </c>
      <c r="L63" s="668" t="str">
        <f t="shared" si="27"/>
        <v/>
      </c>
      <c r="M63" s="668" t="str">
        <f t="shared" si="28"/>
        <v/>
      </c>
      <c r="N63" s="668" t="str">
        <f t="shared" si="29"/>
        <v/>
      </c>
      <c r="O63" s="668" t="str">
        <f t="shared" si="30"/>
        <v/>
      </c>
      <c r="P63" s="668" t="str">
        <f t="shared" si="31"/>
        <v/>
      </c>
      <c r="Q63" s="668">
        <f t="shared" si="32"/>
        <v>10</v>
      </c>
      <c r="R63" s="668" t="str">
        <f t="shared" si="33"/>
        <v/>
      </c>
      <c r="S63" s="668" t="str">
        <f t="shared" si="34"/>
        <v/>
      </c>
      <c r="T63" s="668" t="str">
        <f t="shared" si="35"/>
        <v/>
      </c>
    </row>
    <row r="64" spans="1:20" s="7" customFormat="1" ht="13.5" customHeight="1" x14ac:dyDescent="0.25">
      <c r="A64" s="296">
        <f>IF(B64=0,0,MAX($A$8:A63)+1)</f>
        <v>57</v>
      </c>
      <c r="B64" s="297" t="str">
        <f>NSTonghop!F64</f>
        <v>Lê Văn Thân</v>
      </c>
      <c r="C64" s="297">
        <f>NSTonghop!G64</f>
        <v>0</v>
      </c>
      <c r="D64" s="298" t="str">
        <f>IF(C64=0,NSTonghop!H64,NSTonghop!I64)</f>
        <v>18/11/1991</v>
      </c>
      <c r="E64" s="302" t="str">
        <f>NSTonghop!AN64</f>
        <v>01/09/2014</v>
      </c>
      <c r="F64" s="299" t="str">
        <f t="shared" si="21"/>
        <v>01/09/2014</v>
      </c>
      <c r="G64" s="300">
        <f t="shared" si="22"/>
        <v>5</v>
      </c>
      <c r="H64" s="301">
        <f t="shared" si="23"/>
        <v>4</v>
      </c>
      <c r="I64" s="668" t="str">
        <f t="shared" si="24"/>
        <v/>
      </c>
      <c r="J64" s="668" t="str">
        <f t="shared" si="25"/>
        <v/>
      </c>
      <c r="K64" s="668" t="str">
        <f t="shared" si="26"/>
        <v/>
      </c>
      <c r="L64" s="668" t="str">
        <f t="shared" si="27"/>
        <v/>
      </c>
      <c r="M64" s="668" t="str">
        <f t="shared" si="28"/>
        <v/>
      </c>
      <c r="N64" s="668" t="str">
        <f t="shared" si="29"/>
        <v/>
      </c>
      <c r="O64" s="668" t="str">
        <f t="shared" si="30"/>
        <v/>
      </c>
      <c r="P64" s="668" t="str">
        <f t="shared" si="31"/>
        <v/>
      </c>
      <c r="Q64" s="668">
        <f t="shared" si="32"/>
        <v>6</v>
      </c>
      <c r="R64" s="668" t="str">
        <f t="shared" si="33"/>
        <v/>
      </c>
      <c r="S64" s="668" t="str">
        <f t="shared" si="34"/>
        <v/>
      </c>
      <c r="T64" s="668" t="str">
        <f t="shared" si="35"/>
        <v/>
      </c>
    </row>
    <row r="65" spans="1:20" s="7" customFormat="1" ht="13.5" customHeight="1" x14ac:dyDescent="0.25">
      <c r="A65" s="296">
        <f>IF(B65=0,0,MAX($A$8:A64)+1)</f>
        <v>58</v>
      </c>
      <c r="B65" s="297" t="str">
        <f>NSTonghop!F65</f>
        <v>Nguyễn Thị Kim Út</v>
      </c>
      <c r="C65" s="297" t="str">
        <f>NSTonghop!G65</f>
        <v>x</v>
      </c>
      <c r="D65" s="298" t="str">
        <f>IF(C65=0,NSTonghop!H65,NSTonghop!I65)</f>
        <v>09/06/1990</v>
      </c>
      <c r="E65" s="302" t="str">
        <f>NSTonghop!AN65</f>
        <v>01/09/2014</v>
      </c>
      <c r="F65" s="299" t="str">
        <f t="shared" si="21"/>
        <v>01/09/2014</v>
      </c>
      <c r="G65" s="300">
        <f t="shared" si="22"/>
        <v>5</v>
      </c>
      <c r="H65" s="301">
        <f t="shared" si="23"/>
        <v>4</v>
      </c>
      <c r="I65" s="668" t="str">
        <f t="shared" si="24"/>
        <v/>
      </c>
      <c r="J65" s="668" t="str">
        <f t="shared" si="25"/>
        <v/>
      </c>
      <c r="K65" s="668" t="str">
        <f t="shared" si="26"/>
        <v/>
      </c>
      <c r="L65" s="668" t="str">
        <f t="shared" si="27"/>
        <v/>
      </c>
      <c r="M65" s="668" t="str">
        <f t="shared" si="28"/>
        <v/>
      </c>
      <c r="N65" s="668" t="str">
        <f t="shared" si="29"/>
        <v/>
      </c>
      <c r="O65" s="668" t="str">
        <f t="shared" si="30"/>
        <v/>
      </c>
      <c r="P65" s="668" t="str">
        <f t="shared" si="31"/>
        <v/>
      </c>
      <c r="Q65" s="668">
        <f t="shared" si="32"/>
        <v>6</v>
      </c>
      <c r="R65" s="668" t="str">
        <f t="shared" si="33"/>
        <v/>
      </c>
      <c r="S65" s="668" t="str">
        <f t="shared" si="34"/>
        <v/>
      </c>
      <c r="T65" s="668" t="str">
        <f t="shared" si="35"/>
        <v/>
      </c>
    </row>
    <row r="66" spans="1:20" s="7" customFormat="1" ht="13.5" customHeight="1" x14ac:dyDescent="0.25">
      <c r="A66" s="296">
        <f>IF(B66=0,0,MAX($A$8:A65)+1)</f>
        <v>59</v>
      </c>
      <c r="B66" s="297" t="str">
        <f>NSTonghop!F66</f>
        <v>Lê An Bình</v>
      </c>
      <c r="C66" s="297">
        <f>NSTonghop!G66</f>
        <v>0</v>
      </c>
      <c r="D66" s="298" t="str">
        <f>IF(C66=0,NSTonghop!H66,NSTonghop!I66)</f>
        <v>07/12/1987</v>
      </c>
      <c r="E66" s="302" t="str">
        <f>NSTonghop!AN66</f>
        <v>01/9/2012</v>
      </c>
      <c r="F66" s="299" t="str">
        <f t="shared" si="21"/>
        <v>01/9/2012</v>
      </c>
      <c r="G66" s="300">
        <f t="shared" si="22"/>
        <v>7</v>
      </c>
      <c r="H66" s="301">
        <f t="shared" si="23"/>
        <v>4</v>
      </c>
      <c r="I66" s="668" t="str">
        <f t="shared" si="24"/>
        <v/>
      </c>
      <c r="J66" s="668" t="str">
        <f t="shared" si="25"/>
        <v/>
      </c>
      <c r="K66" s="668" t="str">
        <f t="shared" si="26"/>
        <v/>
      </c>
      <c r="L66" s="668" t="str">
        <f t="shared" si="27"/>
        <v/>
      </c>
      <c r="M66" s="668" t="str">
        <f t="shared" si="28"/>
        <v/>
      </c>
      <c r="N66" s="668" t="str">
        <f t="shared" si="29"/>
        <v/>
      </c>
      <c r="O66" s="668" t="str">
        <f t="shared" si="30"/>
        <v/>
      </c>
      <c r="P66" s="668" t="str">
        <f t="shared" si="31"/>
        <v/>
      </c>
      <c r="Q66" s="668">
        <f t="shared" si="32"/>
        <v>8</v>
      </c>
      <c r="R66" s="668" t="str">
        <f t="shared" si="33"/>
        <v/>
      </c>
      <c r="S66" s="668" t="str">
        <f t="shared" si="34"/>
        <v/>
      </c>
      <c r="T66" s="668" t="str">
        <f t="shared" si="35"/>
        <v/>
      </c>
    </row>
    <row r="67" spans="1:20" s="7" customFormat="1" ht="13.5" customHeight="1" x14ac:dyDescent="0.25">
      <c r="A67" s="296">
        <f>IF(B67=0,0,MAX($A$8:A66)+1)</f>
        <v>60</v>
      </c>
      <c r="B67" s="297" t="str">
        <f>NSTonghop!F67</f>
        <v>Châu Trần Tân Quốc</v>
      </c>
      <c r="C67" s="297">
        <f>NSTonghop!G67</f>
        <v>0</v>
      </c>
      <c r="D67" s="298" t="str">
        <f>IF(C67=0,NSTonghop!H67,NSTonghop!I67)</f>
        <v>19/05/1981</v>
      </c>
      <c r="E67" s="302" t="str">
        <f>NSTonghop!AN67</f>
        <v>01/03/2005</v>
      </c>
      <c r="F67" s="299" t="str">
        <f t="shared" si="21"/>
        <v>01/03/2005</v>
      </c>
      <c r="G67" s="300">
        <f t="shared" si="22"/>
        <v>14</v>
      </c>
      <c r="H67" s="301">
        <f t="shared" si="23"/>
        <v>10</v>
      </c>
      <c r="I67" s="668" t="str">
        <f t="shared" si="24"/>
        <v/>
      </c>
      <c r="J67" s="668" t="str">
        <f t="shared" si="25"/>
        <v/>
      </c>
      <c r="K67" s="668">
        <f t="shared" si="26"/>
        <v>15</v>
      </c>
      <c r="L67" s="668" t="str">
        <f t="shared" si="27"/>
        <v/>
      </c>
      <c r="M67" s="668" t="str">
        <f t="shared" si="28"/>
        <v/>
      </c>
      <c r="N67" s="668" t="str">
        <f t="shared" si="29"/>
        <v/>
      </c>
      <c r="O67" s="668" t="str">
        <f t="shared" si="30"/>
        <v/>
      </c>
      <c r="P67" s="668" t="str">
        <f t="shared" si="31"/>
        <v/>
      </c>
      <c r="Q67" s="668" t="str">
        <f t="shared" si="32"/>
        <v/>
      </c>
      <c r="R67" s="668" t="str">
        <f t="shared" si="33"/>
        <v/>
      </c>
      <c r="S67" s="668" t="str">
        <f t="shared" si="34"/>
        <v/>
      </c>
      <c r="T67" s="668" t="str">
        <f t="shared" si="35"/>
        <v/>
      </c>
    </row>
    <row r="68" spans="1:20" s="7" customFormat="1" ht="13.5" customHeight="1" x14ac:dyDescent="0.25">
      <c r="A68" s="296">
        <f>IF(B68=0,0,MAX($A$8:A67)+1)</f>
        <v>61</v>
      </c>
      <c r="B68" s="297" t="str">
        <f>NSTonghop!F68</f>
        <v>Nguyễn Thanh Hiệp</v>
      </c>
      <c r="C68" s="297">
        <f>NSTonghop!G68</f>
        <v>0</v>
      </c>
      <c r="D68" s="298" t="str">
        <f>IF(C68=0,NSTonghop!H68,NSTonghop!I68)</f>
        <v>13/09/1983</v>
      </c>
      <c r="E68" s="302" t="str">
        <f>NSTonghop!AN68</f>
        <v>01/09/2010</v>
      </c>
      <c r="F68" s="299" t="str">
        <f t="shared" si="21"/>
        <v>01/09/2010</v>
      </c>
      <c r="G68" s="300">
        <f t="shared" si="22"/>
        <v>9</v>
      </c>
      <c r="H68" s="301">
        <f t="shared" si="23"/>
        <v>4</v>
      </c>
      <c r="I68" s="668" t="str">
        <f t="shared" si="24"/>
        <v/>
      </c>
      <c r="J68" s="668" t="str">
        <f t="shared" si="25"/>
        <v/>
      </c>
      <c r="K68" s="668" t="str">
        <f t="shared" si="26"/>
        <v/>
      </c>
      <c r="L68" s="668" t="str">
        <f t="shared" si="27"/>
        <v/>
      </c>
      <c r="M68" s="668" t="str">
        <f t="shared" si="28"/>
        <v/>
      </c>
      <c r="N68" s="668" t="str">
        <f t="shared" si="29"/>
        <v/>
      </c>
      <c r="O68" s="668" t="str">
        <f t="shared" si="30"/>
        <v/>
      </c>
      <c r="P68" s="668" t="str">
        <f t="shared" si="31"/>
        <v/>
      </c>
      <c r="Q68" s="668">
        <f t="shared" si="32"/>
        <v>10</v>
      </c>
      <c r="R68" s="668" t="str">
        <f t="shared" si="33"/>
        <v/>
      </c>
      <c r="S68" s="668" t="str">
        <f t="shared" si="34"/>
        <v/>
      </c>
      <c r="T68" s="668" t="str">
        <f t="shared" si="35"/>
        <v/>
      </c>
    </row>
    <row r="69" spans="1:20" s="7" customFormat="1" ht="13.5" customHeight="1" x14ac:dyDescent="0.25">
      <c r="A69" s="296">
        <f>IF(B69=0,0,MAX($A$8:A68)+1)</f>
        <v>62</v>
      </c>
      <c r="B69" s="297" t="str">
        <f>NSTonghop!F69</f>
        <v>Nguyễn Thanh Tùng</v>
      </c>
      <c r="C69" s="297">
        <f>NSTonghop!G69</f>
        <v>0</v>
      </c>
      <c r="D69" s="298" t="str">
        <f>IF(C69=0,NSTonghop!H69,NSTonghop!I69)</f>
        <v>25/04/1985</v>
      </c>
      <c r="E69" s="302" t="str">
        <f>NSTonghop!AN69</f>
        <v>01/09/2007</v>
      </c>
      <c r="F69" s="299" t="str">
        <f t="shared" si="21"/>
        <v>01/09/2007</v>
      </c>
      <c r="G69" s="300">
        <f t="shared" si="22"/>
        <v>12</v>
      </c>
      <c r="H69" s="301">
        <f t="shared" si="23"/>
        <v>4</v>
      </c>
      <c r="I69" s="668" t="str">
        <f t="shared" si="24"/>
        <v/>
      </c>
      <c r="J69" s="668" t="str">
        <f t="shared" si="25"/>
        <v/>
      </c>
      <c r="K69" s="668" t="str">
        <f t="shared" si="26"/>
        <v/>
      </c>
      <c r="L69" s="668" t="str">
        <f t="shared" si="27"/>
        <v/>
      </c>
      <c r="M69" s="668" t="str">
        <f t="shared" si="28"/>
        <v/>
      </c>
      <c r="N69" s="668" t="str">
        <f t="shared" si="29"/>
        <v/>
      </c>
      <c r="O69" s="668" t="str">
        <f t="shared" si="30"/>
        <v/>
      </c>
      <c r="P69" s="668" t="str">
        <f t="shared" si="31"/>
        <v/>
      </c>
      <c r="Q69" s="668">
        <f t="shared" si="32"/>
        <v>13</v>
      </c>
      <c r="R69" s="668" t="str">
        <f t="shared" si="33"/>
        <v/>
      </c>
      <c r="S69" s="668" t="str">
        <f t="shared" si="34"/>
        <v/>
      </c>
      <c r="T69" s="668" t="str">
        <f t="shared" si="35"/>
        <v/>
      </c>
    </row>
    <row r="70" spans="1:20" s="7" customFormat="1" ht="13.5" customHeight="1" x14ac:dyDescent="0.25">
      <c r="A70" s="296">
        <f>IF(B70=0,0,MAX($A$8:A69)+1)</f>
        <v>63</v>
      </c>
      <c r="B70" s="297" t="str">
        <f>NSTonghop!F70</f>
        <v>Cao Thanh Phong</v>
      </c>
      <c r="C70" s="297">
        <f>NSTonghop!G70</f>
        <v>0</v>
      </c>
      <c r="D70" s="298" t="str">
        <f>IF(C70=0,NSTonghop!H70,NSTonghop!I70)</f>
        <v>17/04/1976</v>
      </c>
      <c r="E70" s="302" t="str">
        <f>NSTonghop!AN70</f>
        <v>01/11/2000</v>
      </c>
      <c r="F70" s="299" t="str">
        <f t="shared" si="21"/>
        <v>01/11/2000</v>
      </c>
      <c r="G70" s="300">
        <f t="shared" si="22"/>
        <v>19</v>
      </c>
      <c r="H70" s="301">
        <f t="shared" si="23"/>
        <v>2</v>
      </c>
      <c r="I70" s="668" t="str">
        <f t="shared" si="24"/>
        <v/>
      </c>
      <c r="J70" s="668" t="str">
        <f t="shared" si="25"/>
        <v/>
      </c>
      <c r="K70" s="668" t="str">
        <f t="shared" si="26"/>
        <v/>
      </c>
      <c r="L70" s="668" t="str">
        <f t="shared" si="27"/>
        <v/>
      </c>
      <c r="M70" s="668" t="str">
        <f t="shared" si="28"/>
        <v/>
      </c>
      <c r="N70" s="668" t="str">
        <f t="shared" si="29"/>
        <v/>
      </c>
      <c r="O70" s="668" t="str">
        <f t="shared" si="30"/>
        <v/>
      </c>
      <c r="P70" s="668" t="str">
        <f t="shared" si="31"/>
        <v/>
      </c>
      <c r="Q70" s="668" t="str">
        <f t="shared" si="32"/>
        <v/>
      </c>
      <c r="R70" s="668" t="str">
        <f t="shared" si="33"/>
        <v/>
      </c>
      <c r="S70" s="668">
        <f t="shared" si="34"/>
        <v>20</v>
      </c>
      <c r="T70" s="668" t="str">
        <f t="shared" si="35"/>
        <v/>
      </c>
    </row>
    <row r="71" spans="1:20" s="7" customFormat="1" ht="13.5" customHeight="1" x14ac:dyDescent="0.25">
      <c r="A71" s="296">
        <f>IF(B71=0,0,MAX($A$8:A70)+1)</f>
        <v>64</v>
      </c>
      <c r="B71" s="297" t="str">
        <f>NSTonghop!F71</f>
        <v>Bùi Thị Huỳnh Hương</v>
      </c>
      <c r="C71" s="297" t="str">
        <f>NSTonghop!G71</f>
        <v>x</v>
      </c>
      <c r="D71" s="298" t="str">
        <f>IF(C71=0,NSTonghop!H71,NSTonghop!I71)</f>
        <v>05/02/1979</v>
      </c>
      <c r="E71" s="302" t="str">
        <f>NSTonghop!AN71</f>
        <v>01/04/2000</v>
      </c>
      <c r="F71" s="299" t="str">
        <f t="shared" si="21"/>
        <v>01/04/2000</v>
      </c>
      <c r="G71" s="300">
        <f t="shared" si="22"/>
        <v>19</v>
      </c>
      <c r="H71" s="301">
        <f t="shared" si="23"/>
        <v>9</v>
      </c>
      <c r="I71" s="668" t="str">
        <f t="shared" si="24"/>
        <v/>
      </c>
      <c r="J71" s="668" t="str">
        <f t="shared" si="25"/>
        <v/>
      </c>
      <c r="K71" s="668" t="str">
        <f t="shared" si="26"/>
        <v/>
      </c>
      <c r="L71" s="668">
        <f t="shared" si="27"/>
        <v>20</v>
      </c>
      <c r="M71" s="668" t="str">
        <f t="shared" si="28"/>
        <v/>
      </c>
      <c r="N71" s="668" t="str">
        <f t="shared" si="29"/>
        <v/>
      </c>
      <c r="O71" s="668" t="str">
        <f t="shared" si="30"/>
        <v/>
      </c>
      <c r="P71" s="668" t="str">
        <f t="shared" si="31"/>
        <v/>
      </c>
      <c r="Q71" s="668" t="str">
        <f t="shared" si="32"/>
        <v/>
      </c>
      <c r="R71" s="668" t="str">
        <f t="shared" si="33"/>
        <v/>
      </c>
      <c r="S71" s="668" t="str">
        <f t="shared" si="34"/>
        <v/>
      </c>
      <c r="T71" s="668" t="str">
        <f t="shared" si="35"/>
        <v/>
      </c>
    </row>
    <row r="72" spans="1:20" s="7" customFormat="1" ht="13.5" customHeight="1" x14ac:dyDescent="0.25">
      <c r="A72" s="296">
        <f>IF(B72=0,0,MAX($A$8:A71)+1)</f>
        <v>65</v>
      </c>
      <c r="B72" s="297" t="str">
        <f>NSTonghop!F72</f>
        <v>Lê Thị Kim Thảo</v>
      </c>
      <c r="C72" s="297" t="str">
        <f>NSTonghop!G72</f>
        <v>x</v>
      </c>
      <c r="D72" s="298" t="str">
        <f>IF(C72=0,NSTonghop!H72,NSTonghop!I72)</f>
        <v>01/10/1982</v>
      </c>
      <c r="E72" s="302" t="str">
        <f>NSTonghop!AN72</f>
        <v>01/03/2005</v>
      </c>
      <c r="F72" s="299" t="str">
        <f t="shared" si="21"/>
        <v>01/03/2005</v>
      </c>
      <c r="G72" s="300">
        <f t="shared" si="22"/>
        <v>14</v>
      </c>
      <c r="H72" s="301">
        <f t="shared" si="23"/>
        <v>10</v>
      </c>
      <c r="I72" s="668" t="str">
        <f t="shared" si="24"/>
        <v/>
      </c>
      <c r="J72" s="668" t="str">
        <f t="shared" si="25"/>
        <v/>
      </c>
      <c r="K72" s="668">
        <f t="shared" si="26"/>
        <v>15</v>
      </c>
      <c r="L72" s="668" t="str">
        <f t="shared" si="27"/>
        <v/>
      </c>
      <c r="M72" s="668" t="str">
        <f t="shared" si="28"/>
        <v/>
      </c>
      <c r="N72" s="668" t="str">
        <f t="shared" si="29"/>
        <v/>
      </c>
      <c r="O72" s="668" t="str">
        <f t="shared" si="30"/>
        <v/>
      </c>
      <c r="P72" s="668" t="str">
        <f t="shared" si="31"/>
        <v/>
      </c>
      <c r="Q72" s="668" t="str">
        <f t="shared" si="32"/>
        <v/>
      </c>
      <c r="R72" s="668" t="str">
        <f t="shared" si="33"/>
        <v/>
      </c>
      <c r="S72" s="668" t="str">
        <f t="shared" si="34"/>
        <v/>
      </c>
      <c r="T72" s="668" t="str">
        <f t="shared" si="35"/>
        <v/>
      </c>
    </row>
    <row r="73" spans="1:20" s="7" customFormat="1" ht="13.5" customHeight="1" x14ac:dyDescent="0.25">
      <c r="A73" s="296">
        <f>IF(B73=0,0,MAX($A$8:A72)+1)</f>
        <v>66</v>
      </c>
      <c r="B73" s="297" t="str">
        <f>NSTonghop!F73</f>
        <v>Lê Nguyên Khiêm</v>
      </c>
      <c r="C73" s="297">
        <f>NSTonghop!G73</f>
        <v>0</v>
      </c>
      <c r="D73" s="298" t="str">
        <f>IF(C73=0,NSTonghop!H73,NSTonghop!I73)</f>
        <v>24/08/1978</v>
      </c>
      <c r="E73" s="302" t="str">
        <f>NSTonghop!AN73</f>
        <v>01/04/2001</v>
      </c>
      <c r="F73" s="299" t="str">
        <f t="shared" si="21"/>
        <v>01/04/2001</v>
      </c>
      <c r="G73" s="300">
        <f t="shared" ref="G73:G105" si="36">IF(OR(B73="",B73=0),"",DATEDIF($F73,$G$6,"y"))</f>
        <v>18</v>
      </c>
      <c r="H73" s="301">
        <f t="shared" ref="H73:H105" si="37">IF(OR(B73="",B73=0),"",DATEDIF($F73,$H$6,"m")-$G73*12)</f>
        <v>9</v>
      </c>
      <c r="I73" s="668" t="str">
        <f t="shared" ref="I73:I105" si="38">IF(OR(B73="",B73=0),"",IF($H73=0,$G73,IF(AND(DATEDIF($F73,I$6,"m")-$G73*12=12,$G73&gt;=4),$G73+1,"")))</f>
        <v/>
      </c>
      <c r="J73" s="668" t="str">
        <f t="shared" ref="J73:J105" si="39">IF(OR(B73="",B73=0),"",IF(AND(DATEDIF($F73,J$6,"m")-$G73*12=12,$G73&gt;=4),$G73+1,""))</f>
        <v/>
      </c>
      <c r="K73" s="668" t="str">
        <f t="shared" ref="K73:K105" si="40">IF(OR(B73="",B73=0),"",IF(AND(DATEDIF($F73,K$6,"m")-$G73*12=12,$G73&gt;=4),$G73+1,""))</f>
        <v/>
      </c>
      <c r="L73" s="668">
        <f t="shared" ref="L73:L105" si="41">IF(OR(B73="",B73=0),"",IF(AND(DATEDIF($F73,L$6,"m")-$G73*12=12,$G73&gt;=4),$G73+1,""))</f>
        <v>19</v>
      </c>
      <c r="M73" s="668" t="str">
        <f t="shared" ref="M73:M105" si="42">IF(OR(B73="",B73=0),"",IF(AND(DATEDIF($F73,M$6,"m")-$G73*12=12,$G73&gt;=4),$G73+1,""))</f>
        <v/>
      </c>
      <c r="N73" s="668" t="str">
        <f t="shared" ref="N73:N105" si="43">IF(OR(B73="",B73=0),"",IF(AND(DATEDIF($F73,N$6,"m")-$G73*12=12,$G73&gt;=4),$G73+1,""))</f>
        <v/>
      </c>
      <c r="O73" s="668" t="str">
        <f t="shared" ref="O73:O105" si="44">IF(OR(B73="",B73=0),"",IF(AND(DATEDIF($F73,O$6,"m")-$G73*12=12,$G73&gt;=4),$G73+1,""))</f>
        <v/>
      </c>
      <c r="P73" s="668" t="str">
        <f t="shared" ref="P73:P105" si="45">IF(OR(B73="",B73=0),"",IF(AND(DATEDIF($F73,P$6,"m")-$G73*12=12,$G73&gt;=4),$G73+1,""))</f>
        <v/>
      </c>
      <c r="Q73" s="668" t="str">
        <f t="shared" ref="Q73:Q105" si="46">IF(OR(B73="",B73=0),"",IF(AND(DATEDIF($F73,Q$6,"m")-$G73*12=12,$G73&gt;=4),$G73+1,""))</f>
        <v/>
      </c>
      <c r="R73" s="668" t="str">
        <f t="shared" ref="R73:R105" si="47">IF(OR(B73="",B73=0),"",IF(AND(DATEDIF($F73,R$6,"m")-$G73*12=12,$G73&gt;=4),$G73+1,""))</f>
        <v/>
      </c>
      <c r="S73" s="668" t="str">
        <f t="shared" ref="S73:S105" si="48">IF(OR(B73="",B73=0),"",IF(AND(DATEDIF($F73,S$6,"m")-$G73*12=12,$G73&gt;=4),$G73+1,""))</f>
        <v/>
      </c>
      <c r="T73" s="668" t="str">
        <f t="shared" ref="T73:T105" si="49">IF(OR(B73="",B73=0),"",IF(AND(DATEDIF($F73,T$6,"m")-$G73*12=12,$G73&gt;=4),$G73+1,""))</f>
        <v/>
      </c>
    </row>
    <row r="74" spans="1:20" s="7" customFormat="1" ht="13.5" customHeight="1" x14ac:dyDescent="0.25">
      <c r="A74" s="296">
        <f>IF(B74=0,0,MAX($A$8:A73)+1)</f>
        <v>67</v>
      </c>
      <c r="B74" s="297" t="str">
        <f>NSTonghop!F74</f>
        <v>Trịnh Thị Thanh Trúc</v>
      </c>
      <c r="C74" s="297" t="str">
        <f>NSTonghop!G74</f>
        <v>x</v>
      </c>
      <c r="D74" s="298" t="str">
        <f>IF(C74=0,NSTonghop!H74,NSTonghop!I74)</f>
        <v>24/07/1978</v>
      </c>
      <c r="E74" s="302" t="str">
        <f>NSTonghop!AN74</f>
        <v>01/03/2002</v>
      </c>
      <c r="F74" s="299" t="str">
        <f t="shared" si="21"/>
        <v>01/03/2002</v>
      </c>
      <c r="G74" s="300">
        <f t="shared" si="36"/>
        <v>17</v>
      </c>
      <c r="H74" s="301">
        <f t="shared" si="37"/>
        <v>10</v>
      </c>
      <c r="I74" s="668" t="str">
        <f t="shared" si="38"/>
        <v/>
      </c>
      <c r="J74" s="668" t="str">
        <f t="shared" si="39"/>
        <v/>
      </c>
      <c r="K74" s="668">
        <f t="shared" si="40"/>
        <v>18</v>
      </c>
      <c r="L74" s="668" t="str">
        <f t="shared" si="41"/>
        <v/>
      </c>
      <c r="M74" s="668" t="str">
        <f t="shared" si="42"/>
        <v/>
      </c>
      <c r="N74" s="668" t="str">
        <f t="shared" si="43"/>
        <v/>
      </c>
      <c r="O74" s="668" t="str">
        <f t="shared" si="44"/>
        <v/>
      </c>
      <c r="P74" s="668" t="str">
        <f t="shared" si="45"/>
        <v/>
      </c>
      <c r="Q74" s="668" t="str">
        <f t="shared" si="46"/>
        <v/>
      </c>
      <c r="R74" s="668" t="str">
        <f t="shared" si="47"/>
        <v/>
      </c>
      <c r="S74" s="668" t="str">
        <f t="shared" si="48"/>
        <v/>
      </c>
      <c r="T74" s="668" t="str">
        <f t="shared" si="49"/>
        <v/>
      </c>
    </row>
    <row r="75" spans="1:20" s="7" customFormat="1" ht="13.5" customHeight="1" x14ac:dyDescent="0.25">
      <c r="A75" s="296">
        <f>IF(B75=0,0,MAX($A$8:A74)+1)</f>
        <v>68</v>
      </c>
      <c r="B75" s="297" t="str">
        <f>NSTonghop!F75</f>
        <v>Huỳnh Văn Phước</v>
      </c>
      <c r="C75" s="297">
        <f>NSTonghop!G75</f>
        <v>0</v>
      </c>
      <c r="D75" s="298" t="str">
        <f>IF(C75=0,NSTonghop!H75,NSTonghop!I75)</f>
        <v>10/01/1964</v>
      </c>
      <c r="E75" s="302" t="str">
        <f>NSTonghop!AN75</f>
        <v xml:space="preserve">  </v>
      </c>
      <c r="F75" s="299" t="str">
        <f t="shared" si="21"/>
        <v xml:space="preserve">  </v>
      </c>
      <c r="G75" s="300" t="e">
        <f t="shared" si="36"/>
        <v>#VALUE!</v>
      </c>
      <c r="H75" s="301" t="e">
        <f t="shared" si="37"/>
        <v>#VALUE!</v>
      </c>
      <c r="I75" s="668" t="e">
        <f t="shared" si="38"/>
        <v>#VALUE!</v>
      </c>
      <c r="J75" s="668" t="e">
        <f t="shared" si="39"/>
        <v>#VALUE!</v>
      </c>
      <c r="K75" s="668" t="e">
        <f t="shared" si="40"/>
        <v>#VALUE!</v>
      </c>
      <c r="L75" s="668" t="e">
        <f t="shared" si="41"/>
        <v>#VALUE!</v>
      </c>
      <c r="M75" s="668" t="e">
        <f t="shared" si="42"/>
        <v>#VALUE!</v>
      </c>
      <c r="N75" s="668" t="e">
        <f t="shared" si="43"/>
        <v>#VALUE!</v>
      </c>
      <c r="O75" s="668" t="e">
        <f t="shared" si="44"/>
        <v>#VALUE!</v>
      </c>
      <c r="P75" s="668" t="e">
        <f t="shared" si="45"/>
        <v>#VALUE!</v>
      </c>
      <c r="Q75" s="668" t="e">
        <f t="shared" si="46"/>
        <v>#VALUE!</v>
      </c>
      <c r="R75" s="668" t="e">
        <f t="shared" si="47"/>
        <v>#VALUE!</v>
      </c>
      <c r="S75" s="668" t="e">
        <f t="shared" si="48"/>
        <v>#VALUE!</v>
      </c>
      <c r="T75" s="668" t="e">
        <f t="shared" si="49"/>
        <v>#VALUE!</v>
      </c>
    </row>
    <row r="76" spans="1:20" s="7" customFormat="1" ht="13.5" customHeight="1" x14ac:dyDescent="0.25">
      <c r="A76" s="296">
        <f>IF(B76=0,0,MAX($A$8:A75)+1)</f>
        <v>69</v>
      </c>
      <c r="B76" s="297" t="str">
        <f>NSTonghop!F76</f>
        <v>Nguyễn Thị Yến Nhi</v>
      </c>
      <c r="C76" s="297" t="str">
        <f>NSTonghop!G76</f>
        <v>x</v>
      </c>
      <c r="D76" s="298" t="str">
        <f>IF(C76=0,NSTonghop!H76,NSTonghop!I76)</f>
        <v>16/01/1970</v>
      </c>
      <c r="E76" s="302" t="str">
        <f>NSTonghop!AN76</f>
        <v>01/12/1993</v>
      </c>
      <c r="F76" s="299" t="str">
        <f t="shared" si="21"/>
        <v>01/12/1993</v>
      </c>
      <c r="G76" s="300">
        <f t="shared" si="36"/>
        <v>26</v>
      </c>
      <c r="H76" s="301">
        <f t="shared" si="37"/>
        <v>1</v>
      </c>
      <c r="I76" s="668" t="str">
        <f t="shared" si="38"/>
        <v/>
      </c>
      <c r="J76" s="668" t="str">
        <f t="shared" si="39"/>
        <v/>
      </c>
      <c r="K76" s="668" t="str">
        <f t="shared" si="40"/>
        <v/>
      </c>
      <c r="L76" s="668" t="str">
        <f t="shared" si="41"/>
        <v/>
      </c>
      <c r="M76" s="668" t="str">
        <f t="shared" si="42"/>
        <v/>
      </c>
      <c r="N76" s="668" t="str">
        <f t="shared" si="43"/>
        <v/>
      </c>
      <c r="O76" s="668" t="str">
        <f t="shared" si="44"/>
        <v/>
      </c>
      <c r="P76" s="668" t="str">
        <f t="shared" si="45"/>
        <v/>
      </c>
      <c r="Q76" s="668" t="str">
        <f t="shared" si="46"/>
        <v/>
      </c>
      <c r="R76" s="668" t="str">
        <f t="shared" si="47"/>
        <v/>
      </c>
      <c r="S76" s="668" t="str">
        <f t="shared" si="48"/>
        <v/>
      </c>
      <c r="T76" s="668">
        <f t="shared" si="49"/>
        <v>27</v>
      </c>
    </row>
    <row r="77" spans="1:20" s="7" customFormat="1" ht="13.5" customHeight="1" x14ac:dyDescent="0.25">
      <c r="A77" s="296">
        <f>IF(B77=0,0,MAX($A$8:A76)+1)</f>
        <v>70</v>
      </c>
      <c r="B77" s="297" t="str">
        <f>NSTonghop!F77</f>
        <v>Nguyễn Thị Phương Mai</v>
      </c>
      <c r="C77" s="297" t="str">
        <f>NSTonghop!G77</f>
        <v>x</v>
      </c>
      <c r="D77" s="298" t="str">
        <f>IF(C77=0,NSTonghop!H77,NSTonghop!I77)</f>
        <v>19/05/1981</v>
      </c>
      <c r="E77" s="302" t="str">
        <f>NSTonghop!AN77</f>
        <v>01/03/2004</v>
      </c>
      <c r="F77" s="299" t="str">
        <f t="shared" si="21"/>
        <v>01/03/2004</v>
      </c>
      <c r="G77" s="300">
        <f t="shared" si="36"/>
        <v>15</v>
      </c>
      <c r="H77" s="301">
        <f t="shared" si="37"/>
        <v>10</v>
      </c>
      <c r="I77" s="668" t="str">
        <f t="shared" si="38"/>
        <v/>
      </c>
      <c r="J77" s="668" t="str">
        <f t="shared" si="39"/>
        <v/>
      </c>
      <c r="K77" s="668">
        <f t="shared" si="40"/>
        <v>16</v>
      </c>
      <c r="L77" s="668" t="str">
        <f t="shared" si="41"/>
        <v/>
      </c>
      <c r="M77" s="668" t="str">
        <f t="shared" si="42"/>
        <v/>
      </c>
      <c r="N77" s="668" t="str">
        <f t="shared" si="43"/>
        <v/>
      </c>
      <c r="O77" s="668" t="str">
        <f t="shared" si="44"/>
        <v/>
      </c>
      <c r="P77" s="668" t="str">
        <f t="shared" si="45"/>
        <v/>
      </c>
      <c r="Q77" s="668" t="str">
        <f t="shared" si="46"/>
        <v/>
      </c>
      <c r="R77" s="668" t="str">
        <f t="shared" si="47"/>
        <v/>
      </c>
      <c r="S77" s="668" t="str">
        <f t="shared" si="48"/>
        <v/>
      </c>
      <c r="T77" s="668" t="str">
        <f t="shared" si="49"/>
        <v/>
      </c>
    </row>
    <row r="78" spans="1:20" s="7" customFormat="1" ht="13.5" customHeight="1" x14ac:dyDescent="0.25">
      <c r="A78" s="296">
        <f>IF(B78=0,0,MAX($A$8:A77)+1)</f>
        <v>71</v>
      </c>
      <c r="B78" s="297" t="str">
        <f>NSTonghop!F78</f>
        <v>Đoàn Thị Ghi</v>
      </c>
      <c r="C78" s="297" t="str">
        <f>NSTonghop!G78</f>
        <v>x</v>
      </c>
      <c r="D78" s="298" t="str">
        <f>IF(C78=0,NSTonghop!H78,NSTonghop!I78)</f>
        <v>25/12/1981</v>
      </c>
      <c r="E78" s="302" t="str">
        <f>NSTonghop!AN78</f>
        <v>01/09/2006</v>
      </c>
      <c r="F78" s="299" t="str">
        <f t="shared" si="21"/>
        <v>01/09/2006</v>
      </c>
      <c r="G78" s="300">
        <f t="shared" si="36"/>
        <v>13</v>
      </c>
      <c r="H78" s="301">
        <f t="shared" si="37"/>
        <v>4</v>
      </c>
      <c r="I78" s="668" t="str">
        <f t="shared" si="38"/>
        <v/>
      </c>
      <c r="J78" s="668" t="str">
        <f t="shared" si="39"/>
        <v/>
      </c>
      <c r="K78" s="668" t="str">
        <f t="shared" si="40"/>
        <v/>
      </c>
      <c r="L78" s="668" t="str">
        <f t="shared" si="41"/>
        <v/>
      </c>
      <c r="M78" s="668" t="str">
        <f t="shared" si="42"/>
        <v/>
      </c>
      <c r="N78" s="668" t="str">
        <f t="shared" si="43"/>
        <v/>
      </c>
      <c r="O78" s="668" t="str">
        <f t="shared" si="44"/>
        <v/>
      </c>
      <c r="P78" s="668" t="str">
        <f t="shared" si="45"/>
        <v/>
      </c>
      <c r="Q78" s="668">
        <f t="shared" si="46"/>
        <v>14</v>
      </c>
      <c r="R78" s="668" t="str">
        <f t="shared" si="47"/>
        <v/>
      </c>
      <c r="S78" s="668" t="str">
        <f t="shared" si="48"/>
        <v/>
      </c>
      <c r="T78" s="668" t="str">
        <f t="shared" si="49"/>
        <v/>
      </c>
    </row>
    <row r="79" spans="1:20" s="7" customFormat="1" ht="13.5" customHeight="1" x14ac:dyDescent="0.25">
      <c r="A79" s="296">
        <f>IF(B79=0,0,MAX($A$8:A78)+1)</f>
        <v>72</v>
      </c>
      <c r="B79" s="297" t="str">
        <f>NSTonghop!F79</f>
        <v>Phan Thị Hồng Ngoan</v>
      </c>
      <c r="C79" s="297" t="str">
        <f>NSTonghop!G79</f>
        <v>x</v>
      </c>
      <c r="D79" s="298" t="str">
        <f>IF(C79=0,NSTonghop!H79,NSTonghop!I79)</f>
        <v>07/11/1986</v>
      </c>
      <c r="E79" s="302" t="str">
        <f>NSTonghop!AN79</f>
        <v>01/09/2009</v>
      </c>
      <c r="F79" s="299" t="str">
        <f t="shared" si="21"/>
        <v>01/09/2009</v>
      </c>
      <c r="G79" s="300">
        <f t="shared" si="36"/>
        <v>10</v>
      </c>
      <c r="H79" s="301">
        <f t="shared" si="37"/>
        <v>4</v>
      </c>
      <c r="I79" s="668" t="str">
        <f t="shared" si="38"/>
        <v/>
      </c>
      <c r="J79" s="668" t="str">
        <f t="shared" si="39"/>
        <v/>
      </c>
      <c r="K79" s="668" t="str">
        <f t="shared" si="40"/>
        <v/>
      </c>
      <c r="L79" s="668" t="str">
        <f t="shared" si="41"/>
        <v/>
      </c>
      <c r="M79" s="668" t="str">
        <f t="shared" si="42"/>
        <v/>
      </c>
      <c r="N79" s="668" t="str">
        <f t="shared" si="43"/>
        <v/>
      </c>
      <c r="O79" s="668" t="str">
        <f t="shared" si="44"/>
        <v/>
      </c>
      <c r="P79" s="668" t="str">
        <f t="shared" si="45"/>
        <v/>
      </c>
      <c r="Q79" s="668">
        <f t="shared" si="46"/>
        <v>11</v>
      </c>
      <c r="R79" s="668" t="str">
        <f t="shared" si="47"/>
        <v/>
      </c>
      <c r="S79" s="668" t="str">
        <f t="shared" si="48"/>
        <v/>
      </c>
      <c r="T79" s="668" t="str">
        <f t="shared" si="49"/>
        <v/>
      </c>
    </row>
    <row r="80" spans="1:20" s="7" customFormat="1" ht="13.5" customHeight="1" x14ac:dyDescent="0.25">
      <c r="A80" s="296">
        <f>IF(B80=0,0,MAX($A$8:A79)+1)</f>
        <v>73</v>
      </c>
      <c r="B80" s="297" t="str">
        <f>NSTonghop!F80</f>
        <v>Nguyễn Thanh Liêm</v>
      </c>
      <c r="C80" s="297">
        <f>NSTonghop!G80</f>
        <v>0</v>
      </c>
      <c r="D80" s="298" t="str">
        <f>IF(C80=0,NSTonghop!H80,NSTonghop!I80)</f>
        <v>28/11/1983</v>
      </c>
      <c r="E80" s="302" t="str">
        <f>NSTonghop!AN80</f>
        <v>01/09/2008</v>
      </c>
      <c r="F80" s="299" t="str">
        <f t="shared" si="21"/>
        <v>01/09/2008</v>
      </c>
      <c r="G80" s="300">
        <f t="shared" si="36"/>
        <v>11</v>
      </c>
      <c r="H80" s="301">
        <f t="shared" si="37"/>
        <v>4</v>
      </c>
      <c r="I80" s="668" t="str">
        <f t="shared" si="38"/>
        <v/>
      </c>
      <c r="J80" s="668" t="str">
        <f t="shared" si="39"/>
        <v/>
      </c>
      <c r="K80" s="668" t="str">
        <f t="shared" si="40"/>
        <v/>
      </c>
      <c r="L80" s="668" t="str">
        <f t="shared" si="41"/>
        <v/>
      </c>
      <c r="M80" s="668" t="str">
        <f t="shared" si="42"/>
        <v/>
      </c>
      <c r="N80" s="668" t="str">
        <f t="shared" si="43"/>
        <v/>
      </c>
      <c r="O80" s="668" t="str">
        <f t="shared" si="44"/>
        <v/>
      </c>
      <c r="P80" s="668" t="str">
        <f t="shared" si="45"/>
        <v/>
      </c>
      <c r="Q80" s="668">
        <f t="shared" si="46"/>
        <v>12</v>
      </c>
      <c r="R80" s="668" t="str">
        <f t="shared" si="47"/>
        <v/>
      </c>
      <c r="S80" s="668" t="str">
        <f t="shared" si="48"/>
        <v/>
      </c>
      <c r="T80" s="668" t="str">
        <f t="shared" si="49"/>
        <v/>
      </c>
    </row>
    <row r="81" spans="1:20" s="7" customFormat="1" ht="13.5" customHeight="1" x14ac:dyDescent="0.25">
      <c r="A81" s="296">
        <f>IF(B81=0,0,MAX($A$8:A80)+1)</f>
        <v>74</v>
      </c>
      <c r="B81" s="297" t="str">
        <f>NSTonghop!F81</f>
        <v>Trần Thị Sẫm</v>
      </c>
      <c r="C81" s="297" t="str">
        <f>NSTonghop!G81</f>
        <v>x</v>
      </c>
      <c r="D81" s="298" t="str">
        <f>IF(C81=0,NSTonghop!H81,NSTonghop!I81)</f>
        <v>12/08/1966</v>
      </c>
      <c r="E81" s="302" t="str">
        <f>NSTonghop!AN81</f>
        <v>01/03/1989</v>
      </c>
      <c r="F81" s="299" t="str">
        <f t="shared" si="21"/>
        <v>01/03/1989</v>
      </c>
      <c r="G81" s="300">
        <f t="shared" si="36"/>
        <v>30</v>
      </c>
      <c r="H81" s="301">
        <f t="shared" si="37"/>
        <v>10</v>
      </c>
      <c r="I81" s="668" t="str">
        <f t="shared" si="38"/>
        <v/>
      </c>
      <c r="J81" s="668" t="str">
        <f t="shared" si="39"/>
        <v/>
      </c>
      <c r="K81" s="668">
        <f t="shared" si="40"/>
        <v>31</v>
      </c>
      <c r="L81" s="668" t="str">
        <f t="shared" si="41"/>
        <v/>
      </c>
      <c r="M81" s="668" t="str">
        <f t="shared" si="42"/>
        <v/>
      </c>
      <c r="N81" s="668" t="str">
        <f t="shared" si="43"/>
        <v/>
      </c>
      <c r="O81" s="668" t="str">
        <f t="shared" si="44"/>
        <v/>
      </c>
      <c r="P81" s="668" t="str">
        <f t="shared" si="45"/>
        <v/>
      </c>
      <c r="Q81" s="668" t="str">
        <f t="shared" si="46"/>
        <v/>
      </c>
      <c r="R81" s="668" t="str">
        <f t="shared" si="47"/>
        <v/>
      </c>
      <c r="S81" s="668" t="str">
        <f t="shared" si="48"/>
        <v/>
      </c>
      <c r="T81" s="668" t="str">
        <f t="shared" si="49"/>
        <v/>
      </c>
    </row>
    <row r="82" spans="1:20" s="7" customFormat="1" ht="13.5" customHeight="1" x14ac:dyDescent="0.25">
      <c r="A82" s="296">
        <f>IF(B82=0,0,MAX($A$8:A81)+1)</f>
        <v>75</v>
      </c>
      <c r="B82" s="297" t="str">
        <f>NSTonghop!F82</f>
        <v>Trương Thị Thiền</v>
      </c>
      <c r="C82" s="297" t="str">
        <f>NSTonghop!G82</f>
        <v>x</v>
      </c>
      <c r="D82" s="298" t="str">
        <f>IF(C82=0,NSTonghop!H82,NSTonghop!I82)</f>
        <v>12/06/1964</v>
      </c>
      <c r="E82" s="302" t="str">
        <f>NSTonghop!AN82</f>
        <v>01/01/1988</v>
      </c>
      <c r="F82" s="299" t="str">
        <f t="shared" si="21"/>
        <v>01/01/1988</v>
      </c>
      <c r="G82" s="300">
        <f t="shared" si="36"/>
        <v>32</v>
      </c>
      <c r="H82" s="301">
        <f t="shared" si="37"/>
        <v>0</v>
      </c>
      <c r="I82" s="700"/>
      <c r="J82" s="700"/>
      <c r="K82" s="700"/>
      <c r="L82" s="700"/>
      <c r="M82" s="700"/>
      <c r="N82" s="700"/>
      <c r="O82" s="700"/>
      <c r="P82" s="700"/>
      <c r="Q82" s="700"/>
      <c r="R82" s="700"/>
      <c r="S82" s="700"/>
      <c r="T82" s="700"/>
    </row>
    <row r="83" spans="1:20" s="7" customFormat="1" ht="13.5" customHeight="1" x14ac:dyDescent="0.25">
      <c r="A83" s="296">
        <f>IF(B83=0,0,MAX($A$8:A82)+1)</f>
        <v>76</v>
      </c>
      <c r="B83" s="297" t="str">
        <f>NSTonghop!F83</f>
        <v>Ngô Thị Quý</v>
      </c>
      <c r="C83" s="297" t="str">
        <f>NSTonghop!G83</f>
        <v>x</v>
      </c>
      <c r="D83" s="298" t="str">
        <f>IF(C83=0,NSTonghop!H83,NSTonghop!I83)</f>
        <v>12/06/1962</v>
      </c>
      <c r="E83" s="302">
        <f>NSTonghop!AN83</f>
        <v>32264</v>
      </c>
      <c r="F83" s="299">
        <f t="shared" si="21"/>
        <v>32264</v>
      </c>
      <c r="G83" s="300">
        <f t="shared" si="36"/>
        <v>31</v>
      </c>
      <c r="H83" s="301">
        <f t="shared" si="37"/>
        <v>8</v>
      </c>
      <c r="I83" s="700"/>
      <c r="J83" s="700" t="str">
        <f t="shared" si="39"/>
        <v/>
      </c>
      <c r="K83" s="700" t="str">
        <f t="shared" si="40"/>
        <v/>
      </c>
      <c r="L83" s="700" t="str">
        <f t="shared" si="41"/>
        <v/>
      </c>
      <c r="M83" s="700">
        <f t="shared" si="42"/>
        <v>32</v>
      </c>
      <c r="N83" s="700" t="str">
        <f t="shared" si="43"/>
        <v/>
      </c>
      <c r="O83" s="700" t="str">
        <f t="shared" si="44"/>
        <v/>
      </c>
      <c r="P83" s="700" t="str">
        <f t="shared" si="45"/>
        <v/>
      </c>
      <c r="Q83" s="700" t="str">
        <f t="shared" si="46"/>
        <v/>
      </c>
      <c r="R83" s="700" t="str">
        <f t="shared" si="47"/>
        <v/>
      </c>
      <c r="S83" s="700" t="str">
        <f t="shared" si="48"/>
        <v/>
      </c>
      <c r="T83" s="700" t="str">
        <f t="shared" si="49"/>
        <v/>
      </c>
    </row>
    <row r="84" spans="1:20" s="7" customFormat="1" ht="13.5" customHeight="1" x14ac:dyDescent="0.25">
      <c r="A84" s="296">
        <f>IF(B84=0,0,MAX($A$8:A83)+1)</f>
        <v>77</v>
      </c>
      <c r="B84" s="297" t="str">
        <f>NSTonghop!F84</f>
        <v>Tiêu Thanh Nam</v>
      </c>
      <c r="C84" s="297">
        <f>NSTonghop!G84</f>
        <v>0</v>
      </c>
      <c r="D84" s="298" t="str">
        <f>IF(C84=0,NSTonghop!H84,NSTonghop!I84)</f>
        <v>01/07/1968</v>
      </c>
      <c r="E84" s="302" t="str">
        <f>NSTonghop!AN84</f>
        <v>01/01/1995</v>
      </c>
      <c r="F84" s="299" t="str">
        <f t="shared" si="21"/>
        <v>01/01/1995</v>
      </c>
      <c r="G84" s="300">
        <f t="shared" si="36"/>
        <v>25</v>
      </c>
      <c r="H84" s="301">
        <f t="shared" si="37"/>
        <v>0</v>
      </c>
      <c r="I84" s="668">
        <f t="shared" si="38"/>
        <v>25</v>
      </c>
      <c r="J84" s="668" t="str">
        <f t="shared" si="39"/>
        <v/>
      </c>
      <c r="K84" s="668" t="str">
        <f t="shared" si="40"/>
        <v/>
      </c>
      <c r="L84" s="668" t="str">
        <f t="shared" si="41"/>
        <v/>
      </c>
      <c r="M84" s="668" t="str">
        <f t="shared" si="42"/>
        <v/>
      </c>
      <c r="N84" s="668" t="str">
        <f t="shared" si="43"/>
        <v/>
      </c>
      <c r="O84" s="668" t="str">
        <f t="shared" si="44"/>
        <v/>
      </c>
      <c r="P84" s="668" t="str">
        <f t="shared" si="45"/>
        <v/>
      </c>
      <c r="Q84" s="668" t="str">
        <f t="shared" si="46"/>
        <v/>
      </c>
      <c r="R84" s="668" t="str">
        <f t="shared" si="47"/>
        <v/>
      </c>
      <c r="S84" s="668" t="str">
        <f t="shared" si="48"/>
        <v/>
      </c>
      <c r="T84" s="668" t="str">
        <f t="shared" si="49"/>
        <v/>
      </c>
    </row>
    <row r="85" spans="1:20" s="7" customFormat="1" ht="13.5" customHeight="1" x14ac:dyDescent="0.25">
      <c r="A85" s="296">
        <f>IF(B85=0,0,MAX($A$8:A84)+1)</f>
        <v>78</v>
      </c>
      <c r="B85" s="297" t="str">
        <f>NSTonghop!F85</f>
        <v>Dương Bình Trọng</v>
      </c>
      <c r="C85" s="297">
        <f>NSTonghop!G85</f>
        <v>0</v>
      </c>
      <c r="D85" s="298" t="str">
        <f>IF(C85=0,NSTonghop!H85,NSTonghop!I85)</f>
        <v>20/07/1981</v>
      </c>
      <c r="E85" s="302" t="str">
        <f>NSTonghop!AN85</f>
        <v>01/09/2007</v>
      </c>
      <c r="F85" s="299" t="str">
        <f t="shared" si="21"/>
        <v>01/09/2007</v>
      </c>
      <c r="G85" s="300">
        <f t="shared" si="36"/>
        <v>12</v>
      </c>
      <c r="H85" s="301">
        <f t="shared" si="37"/>
        <v>4</v>
      </c>
      <c r="I85" s="668" t="str">
        <f t="shared" si="38"/>
        <v/>
      </c>
      <c r="J85" s="668" t="str">
        <f t="shared" si="39"/>
        <v/>
      </c>
      <c r="K85" s="668" t="str">
        <f t="shared" si="40"/>
        <v/>
      </c>
      <c r="L85" s="668" t="str">
        <f t="shared" si="41"/>
        <v/>
      </c>
      <c r="M85" s="668" t="str">
        <f t="shared" si="42"/>
        <v/>
      </c>
      <c r="N85" s="668" t="str">
        <f t="shared" si="43"/>
        <v/>
      </c>
      <c r="O85" s="668" t="str">
        <f t="shared" si="44"/>
        <v/>
      </c>
      <c r="P85" s="668" t="str">
        <f t="shared" si="45"/>
        <v/>
      </c>
      <c r="Q85" s="668">
        <f t="shared" si="46"/>
        <v>13</v>
      </c>
      <c r="R85" s="668" t="str">
        <f t="shared" si="47"/>
        <v/>
      </c>
      <c r="S85" s="668" t="str">
        <f t="shared" si="48"/>
        <v/>
      </c>
      <c r="T85" s="668" t="str">
        <f t="shared" si="49"/>
        <v/>
      </c>
    </row>
    <row r="86" spans="1:20" s="7" customFormat="1" ht="13.5" customHeight="1" x14ac:dyDescent="0.25">
      <c r="A86" s="296">
        <f>IF(B86=0,0,MAX($A$8:A85)+1)</f>
        <v>79</v>
      </c>
      <c r="B86" s="297" t="str">
        <f>NSTonghop!F86</f>
        <v>Võ Thanh Cần</v>
      </c>
      <c r="C86" s="297">
        <f>NSTonghop!G86</f>
        <v>0</v>
      </c>
      <c r="D86" s="298" t="str">
        <f>IF(C86=0,NSTonghop!H86,NSTonghop!I86)</f>
        <v>19/10/1981</v>
      </c>
      <c r="E86" s="302" t="str">
        <f>NSTonghop!AN86</f>
        <v>01/01/2006</v>
      </c>
      <c r="F86" s="299" t="str">
        <f t="shared" si="21"/>
        <v>01/01/2006</v>
      </c>
      <c r="G86" s="300">
        <f t="shared" si="36"/>
        <v>14</v>
      </c>
      <c r="H86" s="301">
        <f t="shared" si="37"/>
        <v>0</v>
      </c>
      <c r="I86" s="668">
        <f t="shared" si="38"/>
        <v>14</v>
      </c>
      <c r="J86" s="668" t="str">
        <f t="shared" si="39"/>
        <v/>
      </c>
      <c r="K86" s="668" t="str">
        <f t="shared" si="40"/>
        <v/>
      </c>
      <c r="L86" s="668" t="str">
        <f t="shared" si="41"/>
        <v/>
      </c>
      <c r="M86" s="668" t="str">
        <f t="shared" si="42"/>
        <v/>
      </c>
      <c r="N86" s="668" t="str">
        <f t="shared" si="43"/>
        <v/>
      </c>
      <c r="O86" s="668" t="str">
        <f t="shared" si="44"/>
        <v/>
      </c>
      <c r="P86" s="668" t="str">
        <f t="shared" si="45"/>
        <v/>
      </c>
      <c r="Q86" s="668" t="str">
        <f t="shared" si="46"/>
        <v/>
      </c>
      <c r="R86" s="668" t="str">
        <f t="shared" si="47"/>
        <v/>
      </c>
      <c r="S86" s="668" t="str">
        <f t="shared" si="48"/>
        <v/>
      </c>
      <c r="T86" s="668" t="str">
        <f t="shared" si="49"/>
        <v/>
      </c>
    </row>
    <row r="87" spans="1:20" s="7" customFormat="1" ht="13.5" customHeight="1" x14ac:dyDescent="0.25">
      <c r="A87" s="296">
        <f>IF(B87=0,0,MAX($A$8:A86)+1)</f>
        <v>80</v>
      </c>
      <c r="B87" s="297" t="str">
        <f>NSTonghop!F87</f>
        <v>Lê Hoàng Sơn</v>
      </c>
      <c r="C87" s="297">
        <f>NSTonghop!G87</f>
        <v>0</v>
      </c>
      <c r="D87" s="298" t="str">
        <f>IF(C87=0,NSTonghop!H87,NSTonghop!I87)</f>
        <v>05/04/1979</v>
      </c>
      <c r="E87" s="302" t="str">
        <f>NSTonghop!AN87</f>
        <v>01/04/2001</v>
      </c>
      <c r="F87" s="299" t="str">
        <f t="shared" si="21"/>
        <v>01/04/2001</v>
      </c>
      <c r="G87" s="300">
        <f t="shared" si="36"/>
        <v>18</v>
      </c>
      <c r="H87" s="301">
        <f t="shared" si="37"/>
        <v>9</v>
      </c>
      <c r="I87" s="668" t="str">
        <f t="shared" si="38"/>
        <v/>
      </c>
      <c r="J87" s="668" t="str">
        <f t="shared" si="39"/>
        <v/>
      </c>
      <c r="K87" s="668" t="str">
        <f t="shared" si="40"/>
        <v/>
      </c>
      <c r="L87" s="668">
        <f t="shared" si="41"/>
        <v>19</v>
      </c>
      <c r="M87" s="668" t="str">
        <f t="shared" si="42"/>
        <v/>
      </c>
      <c r="N87" s="668" t="str">
        <f t="shared" si="43"/>
        <v/>
      </c>
      <c r="O87" s="668" t="str">
        <f t="shared" si="44"/>
        <v/>
      </c>
      <c r="P87" s="668" t="str">
        <f t="shared" si="45"/>
        <v/>
      </c>
      <c r="Q87" s="668" t="str">
        <f t="shared" si="46"/>
        <v/>
      </c>
      <c r="R87" s="668" t="str">
        <f t="shared" si="47"/>
        <v/>
      </c>
      <c r="S87" s="668" t="str">
        <f t="shared" si="48"/>
        <v/>
      </c>
      <c r="T87" s="668" t="str">
        <f t="shared" si="49"/>
        <v/>
      </c>
    </row>
    <row r="88" spans="1:20" s="7" customFormat="1" ht="13.5" customHeight="1" x14ac:dyDescent="0.25">
      <c r="A88" s="296">
        <f>IF(B88=0,0,MAX($A$8:A87)+1)</f>
        <v>81</v>
      </c>
      <c r="B88" s="297" t="str">
        <f>NSTonghop!F88</f>
        <v>Huỳnh Thảo Bích</v>
      </c>
      <c r="C88" s="297" t="str">
        <f>NSTonghop!G88</f>
        <v>x</v>
      </c>
      <c r="D88" s="298" t="str">
        <f>IF(C88=0,NSTonghop!H88,NSTonghop!I88)</f>
        <v>09/09/1979</v>
      </c>
      <c r="E88" s="302" t="str">
        <f>NSTonghop!AN88</f>
        <v>01/03/2003</v>
      </c>
      <c r="F88" s="299" t="str">
        <f t="shared" si="21"/>
        <v>01/03/2003</v>
      </c>
      <c r="G88" s="300">
        <f t="shared" si="36"/>
        <v>16</v>
      </c>
      <c r="H88" s="301">
        <f t="shared" si="37"/>
        <v>10</v>
      </c>
      <c r="I88" s="668" t="str">
        <f t="shared" si="38"/>
        <v/>
      </c>
      <c r="J88" s="668" t="str">
        <f t="shared" si="39"/>
        <v/>
      </c>
      <c r="K88" s="668">
        <f t="shared" si="40"/>
        <v>17</v>
      </c>
      <c r="L88" s="668" t="str">
        <f t="shared" si="41"/>
        <v/>
      </c>
      <c r="M88" s="668" t="str">
        <f t="shared" si="42"/>
        <v/>
      </c>
      <c r="N88" s="668" t="str">
        <f t="shared" si="43"/>
        <v/>
      </c>
      <c r="O88" s="668" t="str">
        <f t="shared" si="44"/>
        <v/>
      </c>
      <c r="P88" s="668" t="str">
        <f t="shared" si="45"/>
        <v/>
      </c>
      <c r="Q88" s="668" t="str">
        <f t="shared" si="46"/>
        <v/>
      </c>
      <c r="R88" s="668" t="str">
        <f t="shared" si="47"/>
        <v/>
      </c>
      <c r="S88" s="668" t="str">
        <f t="shared" si="48"/>
        <v/>
      </c>
      <c r="T88" s="668" t="str">
        <f t="shared" si="49"/>
        <v/>
      </c>
    </row>
    <row r="89" spans="1:20" s="7" customFormat="1" ht="13.5" customHeight="1" x14ac:dyDescent="0.25">
      <c r="A89" s="296">
        <f>IF(B89=0,0,MAX($A$8:A88)+1)</f>
        <v>82</v>
      </c>
      <c r="B89" s="297" t="str">
        <f>NSTonghop!F89</f>
        <v>Phan Thị Anh Kim</v>
      </c>
      <c r="C89" s="297" t="str">
        <f>NSTonghop!G89</f>
        <v>x</v>
      </c>
      <c r="D89" s="298" t="str">
        <f>IF(C89=0,NSTonghop!H89,NSTonghop!I89)</f>
        <v>27/07/1990</v>
      </c>
      <c r="E89" s="302" t="str">
        <f>NSTonghop!AN89</f>
        <v>01/09/2013</v>
      </c>
      <c r="F89" s="299" t="str">
        <f t="shared" si="21"/>
        <v>01/09/2013</v>
      </c>
      <c r="G89" s="300">
        <f t="shared" si="36"/>
        <v>6</v>
      </c>
      <c r="H89" s="301">
        <f t="shared" si="37"/>
        <v>4</v>
      </c>
      <c r="I89" s="668" t="str">
        <f t="shared" si="38"/>
        <v/>
      </c>
      <c r="J89" s="668" t="str">
        <f t="shared" si="39"/>
        <v/>
      </c>
      <c r="K89" s="668" t="str">
        <f t="shared" si="40"/>
        <v/>
      </c>
      <c r="L89" s="668" t="str">
        <f t="shared" si="41"/>
        <v/>
      </c>
      <c r="M89" s="668" t="str">
        <f t="shared" si="42"/>
        <v/>
      </c>
      <c r="N89" s="668" t="str">
        <f t="shared" si="43"/>
        <v/>
      </c>
      <c r="O89" s="668" t="str">
        <f t="shared" si="44"/>
        <v/>
      </c>
      <c r="P89" s="668" t="str">
        <f t="shared" si="45"/>
        <v/>
      </c>
      <c r="Q89" s="668">
        <f t="shared" si="46"/>
        <v>7</v>
      </c>
      <c r="R89" s="668" t="str">
        <f t="shared" si="47"/>
        <v/>
      </c>
      <c r="S89" s="668" t="str">
        <f t="shared" si="48"/>
        <v/>
      </c>
      <c r="T89" s="668" t="str">
        <f t="shared" si="49"/>
        <v/>
      </c>
    </row>
    <row r="90" spans="1:20" s="7" customFormat="1" ht="13.5" customHeight="1" x14ac:dyDescent="0.25">
      <c r="A90" s="296">
        <f>IF(B90=0,0,MAX($A$8:A89)+1)</f>
        <v>83</v>
      </c>
      <c r="B90" s="297" t="str">
        <f>NSTonghop!F90</f>
        <v>Phan Công Trình</v>
      </c>
      <c r="C90" s="297">
        <f>NSTonghop!G90</f>
        <v>0</v>
      </c>
      <c r="D90" s="298" t="str">
        <f>IF(C90=0,NSTonghop!H90,NSTonghop!I90)</f>
        <v>23/08/1983</v>
      </c>
      <c r="E90" s="302" t="str">
        <f>NSTonghop!AN90</f>
        <v>01/09/2007</v>
      </c>
      <c r="F90" s="299" t="str">
        <f t="shared" ref="F90:F105" si="50">E90</f>
        <v>01/09/2007</v>
      </c>
      <c r="G90" s="300">
        <f t="shared" si="36"/>
        <v>12</v>
      </c>
      <c r="H90" s="301">
        <f t="shared" si="37"/>
        <v>4</v>
      </c>
      <c r="I90" s="668" t="str">
        <f t="shared" si="38"/>
        <v/>
      </c>
      <c r="J90" s="668" t="str">
        <f t="shared" si="39"/>
        <v/>
      </c>
      <c r="K90" s="668" t="str">
        <f t="shared" si="40"/>
        <v/>
      </c>
      <c r="L90" s="668" t="str">
        <f t="shared" si="41"/>
        <v/>
      </c>
      <c r="M90" s="668" t="str">
        <f t="shared" si="42"/>
        <v/>
      </c>
      <c r="N90" s="668" t="str">
        <f t="shared" si="43"/>
        <v/>
      </c>
      <c r="O90" s="668" t="str">
        <f t="shared" si="44"/>
        <v/>
      </c>
      <c r="P90" s="668" t="str">
        <f t="shared" si="45"/>
        <v/>
      </c>
      <c r="Q90" s="668">
        <f t="shared" si="46"/>
        <v>13</v>
      </c>
      <c r="R90" s="668" t="str">
        <f t="shared" si="47"/>
        <v/>
      </c>
      <c r="S90" s="668" t="str">
        <f t="shared" si="48"/>
        <v/>
      </c>
      <c r="T90" s="668" t="str">
        <f t="shared" si="49"/>
        <v/>
      </c>
    </row>
    <row r="91" spans="1:20" s="7" customFormat="1" ht="13.5" customHeight="1" x14ac:dyDescent="0.25">
      <c r="A91" s="296">
        <f>IF(B91=0,0,MAX($A$8:A90)+1)</f>
        <v>84</v>
      </c>
      <c r="B91" s="297" t="str">
        <f>NSTonghop!F91</f>
        <v>Phạm Tấn Phong</v>
      </c>
      <c r="C91" s="297">
        <f>NSTonghop!G91</f>
        <v>0</v>
      </c>
      <c r="D91" s="298" t="str">
        <f>IF(C91=0,NSTonghop!H91,NSTonghop!I91)</f>
        <v>16/06/1981</v>
      </c>
      <c r="E91" s="302" t="str">
        <f>NSTonghop!AN91</f>
        <v>01/03/2004</v>
      </c>
      <c r="F91" s="299" t="str">
        <f t="shared" si="50"/>
        <v>01/03/2004</v>
      </c>
      <c r="G91" s="300">
        <f t="shared" si="36"/>
        <v>15</v>
      </c>
      <c r="H91" s="301">
        <f t="shared" si="37"/>
        <v>10</v>
      </c>
      <c r="I91" s="668" t="str">
        <f t="shared" si="38"/>
        <v/>
      </c>
      <c r="J91" s="668" t="str">
        <f t="shared" si="39"/>
        <v/>
      </c>
      <c r="K91" s="668">
        <f t="shared" si="40"/>
        <v>16</v>
      </c>
      <c r="L91" s="668" t="str">
        <f t="shared" si="41"/>
        <v/>
      </c>
      <c r="M91" s="668" t="str">
        <f t="shared" si="42"/>
        <v/>
      </c>
      <c r="N91" s="668" t="str">
        <f t="shared" si="43"/>
        <v/>
      </c>
      <c r="O91" s="668" t="str">
        <f t="shared" si="44"/>
        <v/>
      </c>
      <c r="P91" s="668" t="str">
        <f t="shared" si="45"/>
        <v/>
      </c>
      <c r="Q91" s="668" t="str">
        <f t="shared" si="46"/>
        <v/>
      </c>
      <c r="R91" s="668" t="str">
        <f t="shared" si="47"/>
        <v/>
      </c>
      <c r="S91" s="668" t="str">
        <f t="shared" si="48"/>
        <v/>
      </c>
      <c r="T91" s="668" t="str">
        <f t="shared" si="49"/>
        <v/>
      </c>
    </row>
    <row r="92" spans="1:20" s="7" customFormat="1" ht="13.5" customHeight="1" x14ac:dyDescent="0.25">
      <c r="A92" s="296">
        <f>IF(B92=0,0,MAX($A$8:A91)+1)</f>
        <v>0</v>
      </c>
      <c r="B92" s="297">
        <f>NSTonghop!F92</f>
        <v>0</v>
      </c>
      <c r="C92" s="297">
        <f>NSTonghop!G92</f>
        <v>0</v>
      </c>
      <c r="D92" s="298">
        <f>IF(C92=0,NSTonghop!H92,NSTonghop!I92)</f>
        <v>0</v>
      </c>
      <c r="E92" s="302">
        <f>NSTonghop!AN92</f>
        <v>0</v>
      </c>
      <c r="F92" s="299">
        <f t="shared" si="50"/>
        <v>0</v>
      </c>
      <c r="G92" s="300" t="str">
        <f t="shared" si="36"/>
        <v/>
      </c>
      <c r="H92" s="301" t="str">
        <f t="shared" si="37"/>
        <v/>
      </c>
      <c r="I92" s="668" t="str">
        <f t="shared" si="38"/>
        <v/>
      </c>
      <c r="J92" s="668" t="str">
        <f t="shared" si="39"/>
        <v/>
      </c>
      <c r="K92" s="668" t="str">
        <f t="shared" si="40"/>
        <v/>
      </c>
      <c r="L92" s="668" t="str">
        <f t="shared" si="41"/>
        <v/>
      </c>
      <c r="M92" s="668" t="str">
        <f t="shared" si="42"/>
        <v/>
      </c>
      <c r="N92" s="668" t="str">
        <f t="shared" si="43"/>
        <v/>
      </c>
      <c r="O92" s="668" t="str">
        <f t="shared" si="44"/>
        <v/>
      </c>
      <c r="P92" s="668" t="str">
        <f t="shared" si="45"/>
        <v/>
      </c>
      <c r="Q92" s="668" t="str">
        <f t="shared" si="46"/>
        <v/>
      </c>
      <c r="R92" s="668" t="str">
        <f t="shared" si="47"/>
        <v/>
      </c>
      <c r="S92" s="668" t="str">
        <f t="shared" si="48"/>
        <v/>
      </c>
      <c r="T92" s="668" t="str">
        <f t="shared" si="49"/>
        <v/>
      </c>
    </row>
    <row r="93" spans="1:20" s="7" customFormat="1" ht="13.5" customHeight="1" x14ac:dyDescent="0.25">
      <c r="A93" s="296">
        <f>IF(B93=0,0,MAX($A$8:A92)+1)</f>
        <v>0</v>
      </c>
      <c r="B93" s="297">
        <f>NSTonghop!F93</f>
        <v>0</v>
      </c>
      <c r="C93" s="297">
        <f>NSTonghop!G93</f>
        <v>0</v>
      </c>
      <c r="D93" s="298">
        <f>IF(C93=0,NSTonghop!H93,NSTonghop!I93)</f>
        <v>0</v>
      </c>
      <c r="E93" s="302">
        <f>NSTonghop!AN93</f>
        <v>0</v>
      </c>
      <c r="F93" s="299">
        <f t="shared" si="50"/>
        <v>0</v>
      </c>
      <c r="G93" s="300" t="str">
        <f t="shared" si="36"/>
        <v/>
      </c>
      <c r="H93" s="301" t="str">
        <f t="shared" si="37"/>
        <v/>
      </c>
      <c r="I93" s="668" t="str">
        <f t="shared" si="38"/>
        <v/>
      </c>
      <c r="J93" s="668" t="str">
        <f t="shared" si="39"/>
        <v/>
      </c>
      <c r="K93" s="668" t="str">
        <f t="shared" si="40"/>
        <v/>
      </c>
      <c r="L93" s="668" t="str">
        <f t="shared" si="41"/>
        <v/>
      </c>
      <c r="M93" s="668" t="str">
        <f t="shared" si="42"/>
        <v/>
      </c>
      <c r="N93" s="668" t="str">
        <f t="shared" si="43"/>
        <v/>
      </c>
      <c r="O93" s="668" t="str">
        <f t="shared" si="44"/>
        <v/>
      </c>
      <c r="P93" s="668" t="str">
        <f t="shared" si="45"/>
        <v/>
      </c>
      <c r="Q93" s="668" t="str">
        <f t="shared" si="46"/>
        <v/>
      </c>
      <c r="R93" s="668" t="str">
        <f t="shared" si="47"/>
        <v/>
      </c>
      <c r="S93" s="668" t="str">
        <f t="shared" si="48"/>
        <v/>
      </c>
      <c r="T93" s="668" t="str">
        <f t="shared" si="49"/>
        <v/>
      </c>
    </row>
    <row r="94" spans="1:20" s="7" customFormat="1" ht="13.5" customHeight="1" x14ac:dyDescent="0.25">
      <c r="A94" s="296">
        <f>IF(B94=0,0,MAX($A$8:A93)+1)</f>
        <v>0</v>
      </c>
      <c r="B94" s="297">
        <f>NSTonghop!F94</f>
        <v>0</v>
      </c>
      <c r="C94" s="297">
        <f>NSTonghop!G94</f>
        <v>0</v>
      </c>
      <c r="D94" s="298">
        <f>IF(C94=0,NSTonghop!H94,NSTonghop!I94)</f>
        <v>0</v>
      </c>
      <c r="E94" s="302">
        <f>NSTonghop!AN94</f>
        <v>0</v>
      </c>
      <c r="F94" s="299">
        <f t="shared" si="50"/>
        <v>0</v>
      </c>
      <c r="G94" s="300" t="str">
        <f t="shared" si="36"/>
        <v/>
      </c>
      <c r="H94" s="301" t="str">
        <f t="shared" si="37"/>
        <v/>
      </c>
      <c r="I94" s="668" t="str">
        <f t="shared" si="38"/>
        <v/>
      </c>
      <c r="J94" s="668" t="str">
        <f t="shared" si="39"/>
        <v/>
      </c>
      <c r="K94" s="668" t="str">
        <f t="shared" si="40"/>
        <v/>
      </c>
      <c r="L94" s="668" t="str">
        <f t="shared" si="41"/>
        <v/>
      </c>
      <c r="M94" s="668" t="str">
        <f t="shared" si="42"/>
        <v/>
      </c>
      <c r="N94" s="668" t="str">
        <f t="shared" si="43"/>
        <v/>
      </c>
      <c r="O94" s="668" t="str">
        <f t="shared" si="44"/>
        <v/>
      </c>
      <c r="P94" s="668" t="str">
        <f t="shared" si="45"/>
        <v/>
      </c>
      <c r="Q94" s="668" t="str">
        <f t="shared" si="46"/>
        <v/>
      </c>
      <c r="R94" s="668" t="str">
        <f t="shared" si="47"/>
        <v/>
      </c>
      <c r="S94" s="668" t="str">
        <f t="shared" si="48"/>
        <v/>
      </c>
      <c r="T94" s="668" t="str">
        <f t="shared" si="49"/>
        <v/>
      </c>
    </row>
    <row r="95" spans="1:20" s="7" customFormat="1" ht="13.5" customHeight="1" x14ac:dyDescent="0.25">
      <c r="A95" s="296">
        <f>IF(B95=0,0,MAX($A$8:A94)+1)</f>
        <v>0</v>
      </c>
      <c r="B95" s="297">
        <f>NSTonghop!F95</f>
        <v>0</v>
      </c>
      <c r="C95" s="297">
        <f>NSTonghop!G95</f>
        <v>0</v>
      </c>
      <c r="D95" s="298">
        <f>IF(C95=0,NSTonghop!H95,NSTonghop!I95)</f>
        <v>0</v>
      </c>
      <c r="E95" s="302">
        <f>NSTonghop!AN95</f>
        <v>0</v>
      </c>
      <c r="F95" s="299">
        <f t="shared" si="50"/>
        <v>0</v>
      </c>
      <c r="G95" s="300" t="str">
        <f t="shared" si="36"/>
        <v/>
      </c>
      <c r="H95" s="301" t="str">
        <f t="shared" si="37"/>
        <v/>
      </c>
      <c r="I95" s="668" t="str">
        <f t="shared" si="38"/>
        <v/>
      </c>
      <c r="J95" s="668" t="str">
        <f t="shared" si="39"/>
        <v/>
      </c>
      <c r="K95" s="668" t="str">
        <f t="shared" si="40"/>
        <v/>
      </c>
      <c r="L95" s="668" t="str">
        <f t="shared" si="41"/>
        <v/>
      </c>
      <c r="M95" s="668" t="str">
        <f t="shared" si="42"/>
        <v/>
      </c>
      <c r="N95" s="668" t="str">
        <f t="shared" si="43"/>
        <v/>
      </c>
      <c r="O95" s="668" t="str">
        <f t="shared" si="44"/>
        <v/>
      </c>
      <c r="P95" s="668" t="str">
        <f t="shared" si="45"/>
        <v/>
      </c>
      <c r="Q95" s="668" t="str">
        <f t="shared" si="46"/>
        <v/>
      </c>
      <c r="R95" s="668" t="str">
        <f t="shared" si="47"/>
        <v/>
      </c>
      <c r="S95" s="668" t="str">
        <f t="shared" si="48"/>
        <v/>
      </c>
      <c r="T95" s="668" t="str">
        <f t="shared" si="49"/>
        <v/>
      </c>
    </row>
    <row r="96" spans="1:20" s="7" customFormat="1" ht="13.5" customHeight="1" x14ac:dyDescent="0.25">
      <c r="A96" s="296">
        <f>IF(B96=0,0,MAX($A$8:A95)+1)</f>
        <v>0</v>
      </c>
      <c r="B96" s="292">
        <f>NSTonghop!F96</f>
        <v>0</v>
      </c>
      <c r="C96" s="297">
        <f>NSTonghop!G96</f>
        <v>0</v>
      </c>
      <c r="D96" s="298">
        <f>IF(C96=0,NSTonghop!H96,NSTonghop!I96)</f>
        <v>0</v>
      </c>
      <c r="E96" s="302">
        <f>NSTonghop!AN96</f>
        <v>0</v>
      </c>
      <c r="F96" s="293">
        <f t="shared" si="50"/>
        <v>0</v>
      </c>
      <c r="G96" s="294" t="str">
        <f t="shared" si="36"/>
        <v/>
      </c>
      <c r="H96" s="295" t="str">
        <f t="shared" si="37"/>
        <v/>
      </c>
      <c r="I96" s="669" t="str">
        <f t="shared" si="38"/>
        <v/>
      </c>
      <c r="J96" s="669" t="str">
        <f t="shared" si="39"/>
        <v/>
      </c>
      <c r="K96" s="669" t="str">
        <f t="shared" si="40"/>
        <v/>
      </c>
      <c r="L96" s="669" t="str">
        <f t="shared" si="41"/>
        <v/>
      </c>
      <c r="M96" s="669" t="str">
        <f t="shared" si="42"/>
        <v/>
      </c>
      <c r="N96" s="669" t="str">
        <f t="shared" si="43"/>
        <v/>
      </c>
      <c r="O96" s="669" t="str">
        <f t="shared" si="44"/>
        <v/>
      </c>
      <c r="P96" s="669" t="str">
        <f t="shared" si="45"/>
        <v/>
      </c>
      <c r="Q96" s="669" t="str">
        <f t="shared" si="46"/>
        <v/>
      </c>
      <c r="R96" s="669" t="str">
        <f t="shared" si="47"/>
        <v/>
      </c>
      <c r="S96" s="669" t="str">
        <f t="shared" si="48"/>
        <v/>
      </c>
      <c r="T96" s="669" t="str">
        <f t="shared" si="49"/>
        <v/>
      </c>
    </row>
    <row r="97" spans="1:20" s="7" customFormat="1" ht="13.5" customHeight="1" x14ac:dyDescent="0.25">
      <c r="A97" s="296">
        <f>IF(B97=0,0,MAX($A$8:A96)+1)</f>
        <v>0</v>
      </c>
      <c r="B97" s="81">
        <f>NSTonghop!F97</f>
        <v>0</v>
      </c>
      <c r="C97" s="297">
        <f>NSTonghop!G97</f>
        <v>0</v>
      </c>
      <c r="D97" s="298">
        <f>IF(C97=0,NSTonghop!H97,NSTonghop!I97)</f>
        <v>0</v>
      </c>
      <c r="E97" s="302">
        <f>NSTonghop!AN97</f>
        <v>0</v>
      </c>
      <c r="F97" s="9">
        <f t="shared" si="50"/>
        <v>0</v>
      </c>
      <c r="G97" s="10" t="str">
        <f t="shared" si="36"/>
        <v/>
      </c>
      <c r="H97" s="11" t="str">
        <f t="shared" si="37"/>
        <v/>
      </c>
      <c r="I97" s="670" t="str">
        <f t="shared" si="38"/>
        <v/>
      </c>
      <c r="J97" s="670" t="str">
        <f t="shared" si="39"/>
        <v/>
      </c>
      <c r="K97" s="670" t="str">
        <f t="shared" si="40"/>
        <v/>
      </c>
      <c r="L97" s="670" t="str">
        <f t="shared" si="41"/>
        <v/>
      </c>
      <c r="M97" s="670" t="str">
        <f t="shared" si="42"/>
        <v/>
      </c>
      <c r="N97" s="670" t="str">
        <f t="shared" si="43"/>
        <v/>
      </c>
      <c r="O97" s="670" t="str">
        <f t="shared" si="44"/>
        <v/>
      </c>
      <c r="P97" s="670" t="str">
        <f t="shared" si="45"/>
        <v/>
      </c>
      <c r="Q97" s="670" t="str">
        <f t="shared" si="46"/>
        <v/>
      </c>
      <c r="R97" s="670" t="str">
        <f t="shared" si="47"/>
        <v/>
      </c>
      <c r="S97" s="670" t="str">
        <f t="shared" si="48"/>
        <v/>
      </c>
      <c r="T97" s="670" t="str">
        <f t="shared" si="49"/>
        <v/>
      </c>
    </row>
    <row r="98" spans="1:20" s="7" customFormat="1" ht="13.5" customHeight="1" x14ac:dyDescent="0.25">
      <c r="A98" s="296">
        <f>IF(B98=0,0,MAX($A$8:A97)+1)</f>
        <v>0</v>
      </c>
      <c r="B98" s="81">
        <f>NSTonghop!F98</f>
        <v>0</v>
      </c>
      <c r="C98" s="297">
        <f>NSTonghop!G98</f>
        <v>0</v>
      </c>
      <c r="D98" s="298">
        <f>IF(C98=0,NSTonghop!H98,NSTonghop!I98)</f>
        <v>0</v>
      </c>
      <c r="E98" s="302">
        <f>NSTonghop!AN98</f>
        <v>0</v>
      </c>
      <c r="F98" s="9">
        <f t="shared" si="50"/>
        <v>0</v>
      </c>
      <c r="G98" s="10" t="str">
        <f t="shared" si="36"/>
        <v/>
      </c>
      <c r="H98" s="11" t="str">
        <f t="shared" si="37"/>
        <v/>
      </c>
      <c r="I98" s="670" t="str">
        <f t="shared" si="38"/>
        <v/>
      </c>
      <c r="J98" s="670" t="str">
        <f t="shared" si="39"/>
        <v/>
      </c>
      <c r="K98" s="670" t="str">
        <f t="shared" si="40"/>
        <v/>
      </c>
      <c r="L98" s="670" t="str">
        <f t="shared" si="41"/>
        <v/>
      </c>
      <c r="M98" s="670" t="str">
        <f t="shared" si="42"/>
        <v/>
      </c>
      <c r="N98" s="670" t="str">
        <f t="shared" si="43"/>
        <v/>
      </c>
      <c r="O98" s="670" t="str">
        <f t="shared" si="44"/>
        <v/>
      </c>
      <c r="P98" s="670" t="str">
        <f t="shared" si="45"/>
        <v/>
      </c>
      <c r="Q98" s="670" t="str">
        <f t="shared" si="46"/>
        <v/>
      </c>
      <c r="R98" s="670" t="str">
        <f t="shared" si="47"/>
        <v/>
      </c>
      <c r="S98" s="670" t="str">
        <f t="shared" si="48"/>
        <v/>
      </c>
      <c r="T98" s="670" t="str">
        <f t="shared" si="49"/>
        <v/>
      </c>
    </row>
    <row r="99" spans="1:20" s="7" customFormat="1" ht="13.5" customHeight="1" x14ac:dyDescent="0.25">
      <c r="A99" s="296">
        <f>IF(B99=0,0,MAX($A$8:A98)+1)</f>
        <v>0</v>
      </c>
      <c r="B99" s="81">
        <f>NSTonghop!F99</f>
        <v>0</v>
      </c>
      <c r="C99" s="297">
        <f>NSTonghop!G99</f>
        <v>0</v>
      </c>
      <c r="D99" s="298">
        <f>IF(C99=0,NSTonghop!H99,NSTonghop!I99)</f>
        <v>0</v>
      </c>
      <c r="E99" s="302">
        <f>NSTonghop!AN99</f>
        <v>0</v>
      </c>
      <c r="F99" s="9">
        <f t="shared" si="50"/>
        <v>0</v>
      </c>
      <c r="G99" s="10" t="str">
        <f t="shared" si="36"/>
        <v/>
      </c>
      <c r="H99" s="11" t="str">
        <f t="shared" si="37"/>
        <v/>
      </c>
      <c r="I99" s="670" t="str">
        <f t="shared" si="38"/>
        <v/>
      </c>
      <c r="J99" s="670" t="str">
        <f t="shared" si="39"/>
        <v/>
      </c>
      <c r="K99" s="670" t="str">
        <f t="shared" si="40"/>
        <v/>
      </c>
      <c r="L99" s="670" t="str">
        <f t="shared" si="41"/>
        <v/>
      </c>
      <c r="M99" s="670" t="str">
        <f t="shared" si="42"/>
        <v/>
      </c>
      <c r="N99" s="670" t="str">
        <f t="shared" si="43"/>
        <v/>
      </c>
      <c r="O99" s="670" t="str">
        <f t="shared" si="44"/>
        <v/>
      </c>
      <c r="P99" s="670" t="str">
        <f t="shared" si="45"/>
        <v/>
      </c>
      <c r="Q99" s="670" t="str">
        <f t="shared" si="46"/>
        <v/>
      </c>
      <c r="R99" s="670" t="str">
        <f t="shared" si="47"/>
        <v/>
      </c>
      <c r="S99" s="670" t="str">
        <f t="shared" si="48"/>
        <v/>
      </c>
      <c r="T99" s="670" t="str">
        <f t="shared" si="49"/>
        <v/>
      </c>
    </row>
    <row r="100" spans="1:20" s="7" customFormat="1" ht="13.5" customHeight="1" x14ac:dyDescent="0.25">
      <c r="A100" s="296">
        <f>IF(B100=0,0,MAX($A$8:A99)+1)</f>
        <v>0</v>
      </c>
      <c r="B100" s="81">
        <f>NSTonghop!F100</f>
        <v>0</v>
      </c>
      <c r="C100" s="297">
        <f>NSTonghop!G100</f>
        <v>0</v>
      </c>
      <c r="D100" s="298">
        <f>IF(C100=0,NSTonghop!H100,NSTonghop!I100)</f>
        <v>0</v>
      </c>
      <c r="E100" s="302">
        <f>NSTonghop!AN100</f>
        <v>0</v>
      </c>
      <c r="F100" s="9">
        <f t="shared" si="50"/>
        <v>0</v>
      </c>
      <c r="G100" s="10" t="str">
        <f t="shared" si="36"/>
        <v/>
      </c>
      <c r="H100" s="11" t="str">
        <f t="shared" si="37"/>
        <v/>
      </c>
      <c r="I100" s="670" t="str">
        <f t="shared" si="38"/>
        <v/>
      </c>
      <c r="J100" s="670" t="str">
        <f t="shared" si="39"/>
        <v/>
      </c>
      <c r="K100" s="670" t="str">
        <f t="shared" si="40"/>
        <v/>
      </c>
      <c r="L100" s="670" t="str">
        <f t="shared" si="41"/>
        <v/>
      </c>
      <c r="M100" s="670" t="str">
        <f t="shared" si="42"/>
        <v/>
      </c>
      <c r="N100" s="670" t="str">
        <f t="shared" si="43"/>
        <v/>
      </c>
      <c r="O100" s="670" t="str">
        <f t="shared" si="44"/>
        <v/>
      </c>
      <c r="P100" s="670" t="str">
        <f t="shared" si="45"/>
        <v/>
      </c>
      <c r="Q100" s="670" t="str">
        <f t="shared" si="46"/>
        <v/>
      </c>
      <c r="R100" s="670" t="str">
        <f t="shared" si="47"/>
        <v/>
      </c>
      <c r="S100" s="670" t="str">
        <f t="shared" si="48"/>
        <v/>
      </c>
      <c r="T100" s="670" t="str">
        <f t="shared" si="49"/>
        <v/>
      </c>
    </row>
    <row r="101" spans="1:20" s="7" customFormat="1" ht="13.5" customHeight="1" x14ac:dyDescent="0.25">
      <c r="A101" s="296">
        <f>IF(B101=0,0,MAX($A$8:A100)+1)</f>
        <v>0</v>
      </c>
      <c r="B101" s="81">
        <f>NSTonghop!F101</f>
        <v>0</v>
      </c>
      <c r="C101" s="297">
        <f>NSTonghop!G101</f>
        <v>0</v>
      </c>
      <c r="D101" s="298">
        <f>IF(C101=0,NSTonghop!H101,NSTonghop!I101)</f>
        <v>0</v>
      </c>
      <c r="E101" s="302">
        <f>NSTonghop!AN101</f>
        <v>0</v>
      </c>
      <c r="F101" s="9">
        <f t="shared" si="50"/>
        <v>0</v>
      </c>
      <c r="G101" s="10" t="str">
        <f t="shared" si="36"/>
        <v/>
      </c>
      <c r="H101" s="11" t="str">
        <f t="shared" si="37"/>
        <v/>
      </c>
      <c r="I101" s="670" t="str">
        <f t="shared" si="38"/>
        <v/>
      </c>
      <c r="J101" s="670" t="str">
        <f t="shared" si="39"/>
        <v/>
      </c>
      <c r="K101" s="670" t="str">
        <f t="shared" si="40"/>
        <v/>
      </c>
      <c r="L101" s="670" t="str">
        <f t="shared" si="41"/>
        <v/>
      </c>
      <c r="M101" s="670" t="str">
        <f t="shared" si="42"/>
        <v/>
      </c>
      <c r="N101" s="670" t="str">
        <f t="shared" si="43"/>
        <v/>
      </c>
      <c r="O101" s="670" t="str">
        <f t="shared" si="44"/>
        <v/>
      </c>
      <c r="P101" s="670" t="str">
        <f t="shared" si="45"/>
        <v/>
      </c>
      <c r="Q101" s="670" t="str">
        <f t="shared" si="46"/>
        <v/>
      </c>
      <c r="R101" s="670" t="str">
        <f t="shared" si="47"/>
        <v/>
      </c>
      <c r="S101" s="670" t="str">
        <f t="shared" si="48"/>
        <v/>
      </c>
      <c r="T101" s="670" t="str">
        <f t="shared" si="49"/>
        <v/>
      </c>
    </row>
    <row r="102" spans="1:20" s="7" customFormat="1" ht="13.5" customHeight="1" x14ac:dyDescent="0.25">
      <c r="A102" s="296">
        <f>IF(B102=0,0,MAX($A$8:A101)+1)</f>
        <v>0</v>
      </c>
      <c r="B102" s="81">
        <f>NSTonghop!F102</f>
        <v>0</v>
      </c>
      <c r="C102" s="297">
        <f>NSTonghop!G102</f>
        <v>0</v>
      </c>
      <c r="D102" s="298">
        <f>IF(C102=0,NSTonghop!H102,NSTonghop!I102)</f>
        <v>0</v>
      </c>
      <c r="E102" s="302">
        <f>NSTonghop!AN102</f>
        <v>0</v>
      </c>
      <c r="F102" s="9">
        <f t="shared" si="50"/>
        <v>0</v>
      </c>
      <c r="G102" s="10" t="str">
        <f t="shared" si="36"/>
        <v/>
      </c>
      <c r="H102" s="11" t="str">
        <f t="shared" si="37"/>
        <v/>
      </c>
      <c r="I102" s="670" t="str">
        <f t="shared" si="38"/>
        <v/>
      </c>
      <c r="J102" s="670" t="str">
        <f t="shared" si="39"/>
        <v/>
      </c>
      <c r="K102" s="670" t="str">
        <f t="shared" si="40"/>
        <v/>
      </c>
      <c r="L102" s="670" t="str">
        <f t="shared" si="41"/>
        <v/>
      </c>
      <c r="M102" s="670" t="str">
        <f t="shared" si="42"/>
        <v/>
      </c>
      <c r="N102" s="670" t="str">
        <f t="shared" si="43"/>
        <v/>
      </c>
      <c r="O102" s="670" t="str">
        <f t="shared" si="44"/>
        <v/>
      </c>
      <c r="P102" s="670" t="str">
        <f t="shared" si="45"/>
        <v/>
      </c>
      <c r="Q102" s="670" t="str">
        <f t="shared" si="46"/>
        <v/>
      </c>
      <c r="R102" s="670" t="str">
        <f t="shared" si="47"/>
        <v/>
      </c>
      <c r="S102" s="670" t="str">
        <f t="shared" si="48"/>
        <v/>
      </c>
      <c r="T102" s="670" t="str">
        <f t="shared" si="49"/>
        <v/>
      </c>
    </row>
    <row r="103" spans="1:20" s="7" customFormat="1" ht="13.5" customHeight="1" x14ac:dyDescent="0.25">
      <c r="A103" s="296">
        <f>IF(B103=0,0,MAX($A$8:A102)+1)</f>
        <v>0</v>
      </c>
      <c r="B103" s="81">
        <f>NSTonghop!F103</f>
        <v>0</v>
      </c>
      <c r="C103" s="297">
        <f>NSTonghop!G103</f>
        <v>0</v>
      </c>
      <c r="D103" s="298">
        <f>IF(C103=0,NSTonghop!H103,NSTonghop!I103)</f>
        <v>0</v>
      </c>
      <c r="E103" s="302">
        <f>NSTonghop!AN103</f>
        <v>0</v>
      </c>
      <c r="F103" s="9">
        <f t="shared" si="50"/>
        <v>0</v>
      </c>
      <c r="G103" s="10" t="str">
        <f t="shared" si="36"/>
        <v/>
      </c>
      <c r="H103" s="11" t="str">
        <f t="shared" si="37"/>
        <v/>
      </c>
      <c r="I103" s="670" t="str">
        <f t="shared" si="38"/>
        <v/>
      </c>
      <c r="J103" s="670" t="str">
        <f t="shared" si="39"/>
        <v/>
      </c>
      <c r="K103" s="670" t="str">
        <f t="shared" si="40"/>
        <v/>
      </c>
      <c r="L103" s="670" t="str">
        <f t="shared" si="41"/>
        <v/>
      </c>
      <c r="M103" s="670" t="str">
        <f t="shared" si="42"/>
        <v/>
      </c>
      <c r="N103" s="670" t="str">
        <f t="shared" si="43"/>
        <v/>
      </c>
      <c r="O103" s="670" t="str">
        <f t="shared" si="44"/>
        <v/>
      </c>
      <c r="P103" s="670" t="str">
        <f t="shared" si="45"/>
        <v/>
      </c>
      <c r="Q103" s="670" t="str">
        <f t="shared" si="46"/>
        <v/>
      </c>
      <c r="R103" s="670" t="str">
        <f t="shared" si="47"/>
        <v/>
      </c>
      <c r="S103" s="670" t="str">
        <f t="shared" si="48"/>
        <v/>
      </c>
      <c r="T103" s="670" t="str">
        <f t="shared" si="49"/>
        <v/>
      </c>
    </row>
    <row r="104" spans="1:20" s="7" customFormat="1" ht="13.5" customHeight="1" x14ac:dyDescent="0.25">
      <c r="A104" s="296">
        <f>IF(B104=0,0,MAX($A$8:A103)+1)</f>
        <v>0</v>
      </c>
      <c r="B104" s="81">
        <f>NSTonghop!F104</f>
        <v>0</v>
      </c>
      <c r="C104" s="297">
        <f>NSTonghop!G104</f>
        <v>0</v>
      </c>
      <c r="D104" s="298">
        <f>IF(C104=0,NSTonghop!H104,NSTonghop!I104)</f>
        <v>0</v>
      </c>
      <c r="E104" s="302">
        <f>NSTonghop!AN104</f>
        <v>0</v>
      </c>
      <c r="F104" s="9">
        <f t="shared" si="50"/>
        <v>0</v>
      </c>
      <c r="G104" s="10" t="str">
        <f t="shared" si="36"/>
        <v/>
      </c>
      <c r="H104" s="11" t="str">
        <f t="shared" si="37"/>
        <v/>
      </c>
      <c r="I104" s="670" t="str">
        <f t="shared" si="38"/>
        <v/>
      </c>
      <c r="J104" s="670" t="str">
        <f t="shared" si="39"/>
        <v/>
      </c>
      <c r="K104" s="670" t="str">
        <f t="shared" si="40"/>
        <v/>
      </c>
      <c r="L104" s="670" t="str">
        <f t="shared" si="41"/>
        <v/>
      </c>
      <c r="M104" s="670" t="str">
        <f t="shared" si="42"/>
        <v/>
      </c>
      <c r="N104" s="670" t="str">
        <f t="shared" si="43"/>
        <v/>
      </c>
      <c r="O104" s="670" t="str">
        <f t="shared" si="44"/>
        <v/>
      </c>
      <c r="P104" s="670" t="str">
        <f t="shared" si="45"/>
        <v/>
      </c>
      <c r="Q104" s="670" t="str">
        <f t="shared" si="46"/>
        <v/>
      </c>
      <c r="R104" s="670" t="str">
        <f t="shared" si="47"/>
        <v/>
      </c>
      <c r="S104" s="670" t="str">
        <f t="shared" si="48"/>
        <v/>
      </c>
      <c r="T104" s="670" t="str">
        <f t="shared" si="49"/>
        <v/>
      </c>
    </row>
    <row r="105" spans="1:20" s="7" customFormat="1" ht="13.5" customHeight="1" x14ac:dyDescent="0.25">
      <c r="A105" s="296">
        <f>IF(B105=0,0,MAX($A$8:A104)+1)</f>
        <v>0</v>
      </c>
      <c r="B105" s="81">
        <f>NSTonghop!F105</f>
        <v>0</v>
      </c>
      <c r="C105" s="297">
        <f>NSTonghop!G105</f>
        <v>0</v>
      </c>
      <c r="D105" s="298">
        <f>IF(C105=0,NSTonghop!H105,NSTonghop!I105)</f>
        <v>0</v>
      </c>
      <c r="E105" s="302">
        <f>NSTonghop!AN105</f>
        <v>0</v>
      </c>
      <c r="F105" s="9">
        <f t="shared" si="50"/>
        <v>0</v>
      </c>
      <c r="G105" s="10" t="str">
        <f t="shared" si="36"/>
        <v/>
      </c>
      <c r="H105" s="11" t="str">
        <f t="shared" si="37"/>
        <v/>
      </c>
      <c r="I105" s="670" t="str">
        <f t="shared" si="38"/>
        <v/>
      </c>
      <c r="J105" s="670" t="str">
        <f t="shared" si="39"/>
        <v/>
      </c>
      <c r="K105" s="670" t="str">
        <f t="shared" si="40"/>
        <v/>
      </c>
      <c r="L105" s="670" t="str">
        <f t="shared" si="41"/>
        <v/>
      </c>
      <c r="M105" s="670" t="str">
        <f t="shared" si="42"/>
        <v/>
      </c>
      <c r="N105" s="670" t="str">
        <f t="shared" si="43"/>
        <v/>
      </c>
      <c r="O105" s="670" t="str">
        <f t="shared" si="44"/>
        <v/>
      </c>
      <c r="P105" s="670" t="str">
        <f t="shared" si="45"/>
        <v/>
      </c>
      <c r="Q105" s="670" t="str">
        <f t="shared" si="46"/>
        <v/>
      </c>
      <c r="R105" s="670" t="str">
        <f t="shared" si="47"/>
        <v/>
      </c>
      <c r="S105" s="670" t="str">
        <f t="shared" si="48"/>
        <v/>
      </c>
      <c r="T105" s="670" t="str">
        <f t="shared" si="49"/>
        <v/>
      </c>
    </row>
    <row r="106" spans="1:20" s="7" customFormat="1" ht="13.5" customHeight="1" x14ac:dyDescent="0.25">
      <c r="A106" s="296">
        <f>IF(B106=0,0,MAX($A$8:A105)+1)</f>
        <v>0</v>
      </c>
      <c r="B106" s="82"/>
      <c r="C106" s="297">
        <f>NSTonghop!G106</f>
        <v>0</v>
      </c>
      <c r="D106" s="298">
        <f>IF(C106=0,NSTonghop!H106,NSTonghop!I106)</f>
        <v>0</v>
      </c>
      <c r="E106" s="302">
        <f>NSTonghop!AN106</f>
        <v>0</v>
      </c>
      <c r="F106" s="83"/>
      <c r="G106" s="84"/>
      <c r="H106" s="14"/>
      <c r="I106" s="671"/>
      <c r="J106" s="672"/>
      <c r="K106" s="673"/>
      <c r="L106" s="673"/>
      <c r="M106" s="673"/>
      <c r="N106" s="673"/>
      <c r="O106" s="673"/>
      <c r="P106" s="673"/>
      <c r="Q106" s="673"/>
      <c r="R106" s="673"/>
      <c r="S106" s="673"/>
      <c r="T106" s="673"/>
    </row>
    <row r="107" spans="1:20" s="5" customFormat="1" x14ac:dyDescent="0.2">
      <c r="A107" s="12"/>
      <c r="B107" s="791" t="s">
        <v>41</v>
      </c>
      <c r="C107" s="792"/>
      <c r="D107" s="792"/>
      <c r="E107" s="792"/>
      <c r="F107" s="792"/>
      <c r="G107" s="13">
        <f>SUM(H107:T107)</f>
        <v>78</v>
      </c>
      <c r="H107" s="12">
        <f>COUNTIF(H15:H106,"=0")</f>
        <v>8</v>
      </c>
      <c r="I107" s="674">
        <f t="shared" ref="I107:T107" si="51">COUNT(I15:I106)</f>
        <v>6</v>
      </c>
      <c r="J107" s="674">
        <f t="shared" si="51"/>
        <v>1</v>
      </c>
      <c r="K107" s="674">
        <f t="shared" si="51"/>
        <v>21</v>
      </c>
      <c r="L107" s="674">
        <f t="shared" si="51"/>
        <v>6</v>
      </c>
      <c r="M107" s="674">
        <f t="shared" si="51"/>
        <v>3</v>
      </c>
      <c r="N107" s="674">
        <f t="shared" si="51"/>
        <v>1</v>
      </c>
      <c r="O107" s="674">
        <f t="shared" si="51"/>
        <v>0</v>
      </c>
      <c r="P107" s="674">
        <f t="shared" si="51"/>
        <v>1</v>
      </c>
      <c r="Q107" s="674">
        <f t="shared" si="51"/>
        <v>23</v>
      </c>
      <c r="R107" s="674">
        <f t="shared" si="51"/>
        <v>4</v>
      </c>
      <c r="S107" s="674">
        <f t="shared" si="51"/>
        <v>2</v>
      </c>
      <c r="T107" s="674">
        <f t="shared" si="51"/>
        <v>2</v>
      </c>
    </row>
    <row r="108" spans="1:20" s="5" customFormat="1" x14ac:dyDescent="0.2">
      <c r="D108" s="1"/>
      <c r="E108" s="2"/>
      <c r="F108" s="2"/>
      <c r="I108" s="675"/>
      <c r="J108" s="675"/>
      <c r="K108" s="675"/>
      <c r="L108" s="675"/>
      <c r="M108" s="675"/>
      <c r="N108" s="675"/>
      <c r="O108" s="675"/>
      <c r="P108" s="675"/>
      <c r="Q108" s="675"/>
      <c r="R108" s="675"/>
      <c r="S108" s="675"/>
      <c r="T108" s="675"/>
    </row>
    <row r="109" spans="1:20" s="5" customFormat="1" x14ac:dyDescent="0.2">
      <c r="D109" s="1"/>
      <c r="E109" s="2"/>
      <c r="F109" s="2"/>
      <c r="I109" s="675"/>
      <c r="J109" s="675"/>
      <c r="K109" s="675"/>
      <c r="L109" s="675"/>
      <c r="M109" s="675"/>
      <c r="N109" s="675"/>
      <c r="O109" s="675"/>
      <c r="P109" s="675"/>
      <c r="Q109" s="675"/>
      <c r="R109" s="675"/>
      <c r="S109" s="675"/>
      <c r="T109" s="675"/>
    </row>
    <row r="110" spans="1:20" s="5" customFormat="1" x14ac:dyDescent="0.2">
      <c r="D110" s="1"/>
      <c r="E110" s="2"/>
      <c r="F110" s="2"/>
      <c r="I110" s="675"/>
      <c r="J110" s="675"/>
      <c r="K110" s="675"/>
      <c r="L110" s="675"/>
      <c r="M110" s="675"/>
      <c r="N110" s="675"/>
      <c r="O110" s="675"/>
      <c r="P110" s="675"/>
      <c r="Q110" s="675"/>
      <c r="R110" s="675"/>
      <c r="S110" s="675"/>
      <c r="T110" s="675"/>
    </row>
    <row r="111" spans="1:20" s="5" customFormat="1" x14ac:dyDescent="0.2">
      <c r="D111" s="1"/>
      <c r="E111" s="2"/>
      <c r="F111" s="2"/>
      <c r="I111" s="675"/>
      <c r="J111" s="675"/>
      <c r="K111" s="675"/>
      <c r="L111" s="675"/>
      <c r="M111" s="675"/>
      <c r="N111" s="675"/>
      <c r="O111" s="675"/>
      <c r="P111" s="675"/>
      <c r="Q111" s="675"/>
      <c r="R111" s="675"/>
      <c r="S111" s="675"/>
      <c r="T111" s="675"/>
    </row>
    <row r="112" spans="1:20" s="5" customFormat="1" x14ac:dyDescent="0.2">
      <c r="D112" s="1"/>
      <c r="E112" s="2"/>
      <c r="F112" s="2"/>
      <c r="I112" s="675"/>
      <c r="J112" s="675"/>
      <c r="K112" s="675"/>
      <c r="L112" s="675"/>
      <c r="M112" s="675"/>
      <c r="N112" s="675"/>
      <c r="O112" s="675"/>
      <c r="P112" s="675"/>
      <c r="Q112" s="675"/>
      <c r="R112" s="675"/>
      <c r="S112" s="675"/>
      <c r="T112" s="675"/>
    </row>
    <row r="113" spans="4:20" s="5" customFormat="1" x14ac:dyDescent="0.2">
      <c r="D113" s="1"/>
      <c r="E113" s="2"/>
      <c r="F113" s="2"/>
      <c r="I113" s="675"/>
      <c r="J113" s="675"/>
      <c r="K113" s="675"/>
      <c r="L113" s="675"/>
      <c r="M113" s="675"/>
      <c r="N113" s="675"/>
      <c r="O113" s="675"/>
      <c r="P113" s="675"/>
      <c r="Q113" s="675"/>
      <c r="R113" s="675"/>
      <c r="S113" s="675"/>
      <c r="T113" s="675"/>
    </row>
    <row r="114" spans="4:20" s="5" customFormat="1" x14ac:dyDescent="0.2">
      <c r="D114" s="1"/>
      <c r="E114" s="2"/>
      <c r="F114" s="2"/>
      <c r="I114" s="675"/>
      <c r="J114" s="675"/>
      <c r="K114" s="675"/>
      <c r="L114" s="675"/>
      <c r="M114" s="675"/>
      <c r="N114" s="675"/>
      <c r="O114" s="675"/>
      <c r="P114" s="675"/>
      <c r="Q114" s="675"/>
      <c r="R114" s="675"/>
      <c r="S114" s="675"/>
      <c r="T114" s="675"/>
    </row>
    <row r="115" spans="4:20" s="5" customFormat="1" x14ac:dyDescent="0.2">
      <c r="D115" s="1"/>
      <c r="E115" s="2"/>
      <c r="F115" s="2"/>
      <c r="I115" s="675"/>
      <c r="J115" s="675"/>
      <c r="K115" s="675"/>
      <c r="L115" s="675"/>
      <c r="M115" s="675"/>
      <c r="N115" s="675"/>
      <c r="O115" s="675"/>
      <c r="P115" s="675"/>
      <c r="Q115" s="675"/>
      <c r="R115" s="675"/>
      <c r="S115" s="675"/>
      <c r="T115" s="675"/>
    </row>
    <row r="116" spans="4:20" s="5" customFormat="1" x14ac:dyDescent="0.2">
      <c r="D116" s="1"/>
      <c r="E116" s="2"/>
      <c r="F116" s="2"/>
      <c r="I116" s="675"/>
      <c r="J116" s="675"/>
      <c r="K116" s="675"/>
      <c r="L116" s="675"/>
      <c r="M116" s="675"/>
      <c r="N116" s="675"/>
      <c r="O116" s="675"/>
      <c r="P116" s="675"/>
      <c r="Q116" s="675"/>
      <c r="R116" s="675"/>
      <c r="S116" s="675"/>
      <c r="T116" s="675"/>
    </row>
    <row r="117" spans="4:20" s="5" customFormat="1" x14ac:dyDescent="0.2">
      <c r="D117" s="1"/>
      <c r="E117" s="2"/>
      <c r="F117" s="2"/>
      <c r="I117" s="675"/>
      <c r="J117" s="675"/>
      <c r="K117" s="675"/>
      <c r="L117" s="675"/>
      <c r="M117" s="675"/>
      <c r="N117" s="675"/>
      <c r="O117" s="675"/>
      <c r="P117" s="675"/>
      <c r="Q117" s="675"/>
      <c r="R117" s="675"/>
      <c r="S117" s="675"/>
      <c r="T117" s="675"/>
    </row>
    <row r="118" spans="4:20" s="5" customFormat="1" x14ac:dyDescent="0.2">
      <c r="D118" s="1"/>
      <c r="E118" s="2"/>
      <c r="F118" s="2"/>
      <c r="I118" s="675"/>
      <c r="J118" s="675"/>
      <c r="K118" s="675"/>
      <c r="L118" s="675"/>
      <c r="M118" s="675"/>
      <c r="N118" s="675"/>
      <c r="O118" s="675"/>
      <c r="P118" s="675"/>
      <c r="Q118" s="675"/>
      <c r="R118" s="675"/>
      <c r="S118" s="675"/>
      <c r="T118" s="675"/>
    </row>
    <row r="119" spans="4:20" s="5" customFormat="1" x14ac:dyDescent="0.2">
      <c r="D119" s="1"/>
      <c r="E119" s="2"/>
      <c r="F119" s="2"/>
      <c r="I119" s="675"/>
      <c r="J119" s="675"/>
      <c r="K119" s="675"/>
      <c r="L119" s="675"/>
      <c r="M119" s="675"/>
      <c r="N119" s="675"/>
      <c r="O119" s="675"/>
      <c r="P119" s="675"/>
      <c r="Q119" s="675"/>
      <c r="R119" s="675"/>
      <c r="S119" s="675"/>
      <c r="T119" s="675"/>
    </row>
    <row r="120" spans="4:20" s="5" customFormat="1" x14ac:dyDescent="0.2">
      <c r="D120" s="1"/>
      <c r="E120" s="2"/>
      <c r="F120" s="2"/>
      <c r="I120" s="675"/>
      <c r="J120" s="675"/>
      <c r="K120" s="675"/>
      <c r="L120" s="675"/>
      <c r="M120" s="675"/>
      <c r="N120" s="675"/>
      <c r="O120" s="675"/>
      <c r="P120" s="675"/>
      <c r="Q120" s="675"/>
      <c r="R120" s="675"/>
      <c r="S120" s="675"/>
      <c r="T120" s="675"/>
    </row>
    <row r="121" spans="4:20" s="5" customFormat="1" x14ac:dyDescent="0.2">
      <c r="D121" s="1"/>
      <c r="E121" s="2"/>
      <c r="F121" s="2"/>
      <c r="I121" s="675"/>
      <c r="J121" s="675"/>
      <c r="K121" s="675"/>
      <c r="L121" s="675"/>
      <c r="M121" s="675"/>
      <c r="N121" s="675"/>
      <c r="O121" s="675"/>
      <c r="P121" s="675"/>
      <c r="Q121" s="675"/>
      <c r="R121" s="675"/>
      <c r="S121" s="675"/>
      <c r="T121" s="675"/>
    </row>
    <row r="122" spans="4:20" s="5" customFormat="1" x14ac:dyDescent="0.2">
      <c r="D122" s="1"/>
      <c r="E122" s="2"/>
      <c r="F122" s="2"/>
      <c r="I122" s="675"/>
      <c r="J122" s="675"/>
      <c r="K122" s="675"/>
      <c r="L122" s="675"/>
      <c r="M122" s="675"/>
      <c r="N122" s="675"/>
      <c r="O122" s="675"/>
      <c r="P122" s="675"/>
      <c r="Q122" s="675"/>
      <c r="R122" s="675"/>
      <c r="S122" s="675"/>
      <c r="T122" s="675"/>
    </row>
    <row r="123" spans="4:20" s="5" customFormat="1" x14ac:dyDescent="0.2">
      <c r="D123" s="1"/>
      <c r="E123" s="2"/>
      <c r="F123" s="2"/>
      <c r="I123" s="675"/>
      <c r="J123" s="675"/>
      <c r="K123" s="675"/>
      <c r="L123" s="675"/>
      <c r="M123" s="675"/>
      <c r="N123" s="675"/>
      <c r="O123" s="675"/>
      <c r="P123" s="675"/>
      <c r="Q123" s="675"/>
      <c r="R123" s="675"/>
      <c r="S123" s="675"/>
      <c r="T123" s="675"/>
    </row>
  </sheetData>
  <mergeCells count="10">
    <mergeCell ref="I5:T5"/>
    <mergeCell ref="A3:D3"/>
    <mergeCell ref="H3:Q3"/>
    <mergeCell ref="B107:F107"/>
    <mergeCell ref="A5:A6"/>
    <mergeCell ref="B5:B6"/>
    <mergeCell ref="D5:D6"/>
    <mergeCell ref="E5:E6"/>
    <mergeCell ref="F5:F6"/>
    <mergeCell ref="C5:C6"/>
  </mergeCells>
  <conditionalFormatting sqref="I15:T105">
    <cfRule type="colorScale" priority="75">
      <colorScale>
        <cfvo type="num" val="0"/>
        <cfvo type="max"/>
        <color theme="5" tint="0.59999389629810485"/>
        <color rgb="FFFFEF9C"/>
      </colorScale>
    </cfRule>
  </conditionalFormatting>
  <dataValidations count="2">
    <dataValidation allowBlank="1" showInputMessage="1" showErrorMessage="1" prompt="khong dien so" sqref="A65546:A65642 GO65546:GO65642 QK65546:QK65642 AAG65546:AAG65642 AKC65546:AKC65642 ATY65546:ATY65642 BDU65546:BDU65642 BNQ65546:BNQ65642 BXM65546:BXM65642 CHI65546:CHI65642 CRE65546:CRE65642 DBA65546:DBA65642 DKW65546:DKW65642 DUS65546:DUS65642 EEO65546:EEO65642 EOK65546:EOK65642 EYG65546:EYG65642 FIC65546:FIC65642 FRY65546:FRY65642 GBU65546:GBU65642 GLQ65546:GLQ65642 GVM65546:GVM65642 HFI65546:HFI65642 HPE65546:HPE65642 HZA65546:HZA65642 IIW65546:IIW65642 ISS65546:ISS65642 JCO65546:JCO65642 JMK65546:JMK65642 JWG65546:JWG65642 KGC65546:KGC65642 KPY65546:KPY65642 KZU65546:KZU65642 LJQ65546:LJQ65642 LTM65546:LTM65642 MDI65546:MDI65642 MNE65546:MNE65642 MXA65546:MXA65642 NGW65546:NGW65642 NQS65546:NQS65642 OAO65546:OAO65642 OKK65546:OKK65642 OUG65546:OUG65642 PEC65546:PEC65642 PNY65546:PNY65642 PXU65546:PXU65642 QHQ65546:QHQ65642 QRM65546:QRM65642 RBI65546:RBI65642 RLE65546:RLE65642 RVA65546:RVA65642 SEW65546:SEW65642 SOS65546:SOS65642 SYO65546:SYO65642 TIK65546:TIK65642 TSG65546:TSG65642 UCC65546:UCC65642 ULY65546:ULY65642 UVU65546:UVU65642 VFQ65546:VFQ65642 VPM65546:VPM65642 VZI65546:VZI65642 WJE65546:WJE65642 WTA65546:WTA65642 A131082:A131178 GO131082:GO131178 QK131082:QK131178 AAG131082:AAG131178 AKC131082:AKC131178 ATY131082:ATY131178 BDU131082:BDU131178 BNQ131082:BNQ131178 BXM131082:BXM131178 CHI131082:CHI131178 CRE131082:CRE131178 DBA131082:DBA131178 DKW131082:DKW131178 DUS131082:DUS131178 EEO131082:EEO131178 EOK131082:EOK131178 EYG131082:EYG131178 FIC131082:FIC131178 FRY131082:FRY131178 GBU131082:GBU131178 GLQ131082:GLQ131178 GVM131082:GVM131178 HFI131082:HFI131178 HPE131082:HPE131178 HZA131082:HZA131178 IIW131082:IIW131178 ISS131082:ISS131178 JCO131082:JCO131178 JMK131082:JMK131178 JWG131082:JWG131178 KGC131082:KGC131178 KPY131082:KPY131178 KZU131082:KZU131178 LJQ131082:LJQ131178 LTM131082:LTM131178 MDI131082:MDI131178 MNE131082:MNE131178 MXA131082:MXA131178 NGW131082:NGW131178 NQS131082:NQS131178 OAO131082:OAO131178 OKK131082:OKK131178 OUG131082:OUG131178 PEC131082:PEC131178 PNY131082:PNY131178 PXU131082:PXU131178 QHQ131082:QHQ131178 QRM131082:QRM131178 RBI131082:RBI131178 RLE131082:RLE131178 RVA131082:RVA131178 SEW131082:SEW131178 SOS131082:SOS131178 SYO131082:SYO131178 TIK131082:TIK131178 TSG131082:TSG131178 UCC131082:UCC131178 ULY131082:ULY131178 UVU131082:UVU131178 VFQ131082:VFQ131178 VPM131082:VPM131178 VZI131082:VZI131178 WJE131082:WJE131178 WTA131082:WTA131178 A196618:A196714 GO196618:GO196714 QK196618:QK196714 AAG196618:AAG196714 AKC196618:AKC196714 ATY196618:ATY196714 BDU196618:BDU196714 BNQ196618:BNQ196714 BXM196618:BXM196714 CHI196618:CHI196714 CRE196618:CRE196714 DBA196618:DBA196714 DKW196618:DKW196714 DUS196618:DUS196714 EEO196618:EEO196714 EOK196618:EOK196714 EYG196618:EYG196714 FIC196618:FIC196714 FRY196618:FRY196714 GBU196618:GBU196714 GLQ196618:GLQ196714 GVM196618:GVM196714 HFI196618:HFI196714 HPE196618:HPE196714 HZA196618:HZA196714 IIW196618:IIW196714 ISS196618:ISS196714 JCO196618:JCO196714 JMK196618:JMK196714 JWG196618:JWG196714 KGC196618:KGC196714 KPY196618:KPY196714 KZU196618:KZU196714 LJQ196618:LJQ196714 LTM196618:LTM196714 MDI196618:MDI196714 MNE196618:MNE196714 MXA196618:MXA196714 NGW196618:NGW196714 NQS196618:NQS196714 OAO196618:OAO196714 OKK196618:OKK196714 OUG196618:OUG196714 PEC196618:PEC196714 PNY196618:PNY196714 PXU196618:PXU196714 QHQ196618:QHQ196714 QRM196618:QRM196714 RBI196618:RBI196714 RLE196618:RLE196714 RVA196618:RVA196714 SEW196618:SEW196714 SOS196618:SOS196714 SYO196618:SYO196714 TIK196618:TIK196714 TSG196618:TSG196714 UCC196618:UCC196714 ULY196618:ULY196714 UVU196618:UVU196714 VFQ196618:VFQ196714 VPM196618:VPM196714 VZI196618:VZI196714 WJE196618:WJE196714 WTA196618:WTA196714 A262154:A262250 GO262154:GO262250 QK262154:QK262250 AAG262154:AAG262250 AKC262154:AKC262250 ATY262154:ATY262250 BDU262154:BDU262250 BNQ262154:BNQ262250 BXM262154:BXM262250 CHI262154:CHI262250 CRE262154:CRE262250 DBA262154:DBA262250 DKW262154:DKW262250 DUS262154:DUS262250 EEO262154:EEO262250 EOK262154:EOK262250 EYG262154:EYG262250 FIC262154:FIC262250 FRY262154:FRY262250 GBU262154:GBU262250 GLQ262154:GLQ262250 GVM262154:GVM262250 HFI262154:HFI262250 HPE262154:HPE262250 HZA262154:HZA262250 IIW262154:IIW262250 ISS262154:ISS262250 JCO262154:JCO262250 JMK262154:JMK262250 JWG262154:JWG262250 KGC262154:KGC262250 KPY262154:KPY262250 KZU262154:KZU262250 LJQ262154:LJQ262250 LTM262154:LTM262250 MDI262154:MDI262250 MNE262154:MNE262250 MXA262154:MXA262250 NGW262154:NGW262250 NQS262154:NQS262250 OAO262154:OAO262250 OKK262154:OKK262250 OUG262154:OUG262250 PEC262154:PEC262250 PNY262154:PNY262250 PXU262154:PXU262250 QHQ262154:QHQ262250 QRM262154:QRM262250 RBI262154:RBI262250 RLE262154:RLE262250 RVA262154:RVA262250 SEW262154:SEW262250 SOS262154:SOS262250 SYO262154:SYO262250 TIK262154:TIK262250 TSG262154:TSG262250 UCC262154:UCC262250 ULY262154:ULY262250 UVU262154:UVU262250 VFQ262154:VFQ262250 VPM262154:VPM262250 VZI262154:VZI262250 WJE262154:WJE262250 WTA262154:WTA262250 A327690:A327786 GO327690:GO327786 QK327690:QK327786 AAG327690:AAG327786 AKC327690:AKC327786 ATY327690:ATY327786 BDU327690:BDU327786 BNQ327690:BNQ327786 BXM327690:BXM327786 CHI327690:CHI327786 CRE327690:CRE327786 DBA327690:DBA327786 DKW327690:DKW327786 DUS327690:DUS327786 EEO327690:EEO327786 EOK327690:EOK327786 EYG327690:EYG327786 FIC327690:FIC327786 FRY327690:FRY327786 GBU327690:GBU327786 GLQ327690:GLQ327786 GVM327690:GVM327786 HFI327690:HFI327786 HPE327690:HPE327786 HZA327690:HZA327786 IIW327690:IIW327786 ISS327690:ISS327786 JCO327690:JCO327786 JMK327690:JMK327786 JWG327690:JWG327786 KGC327690:KGC327786 KPY327690:KPY327786 KZU327690:KZU327786 LJQ327690:LJQ327786 LTM327690:LTM327786 MDI327690:MDI327786 MNE327690:MNE327786 MXA327690:MXA327786 NGW327690:NGW327786 NQS327690:NQS327786 OAO327690:OAO327786 OKK327690:OKK327786 OUG327690:OUG327786 PEC327690:PEC327786 PNY327690:PNY327786 PXU327690:PXU327786 QHQ327690:QHQ327786 QRM327690:QRM327786 RBI327690:RBI327786 RLE327690:RLE327786 RVA327690:RVA327786 SEW327690:SEW327786 SOS327690:SOS327786 SYO327690:SYO327786 TIK327690:TIK327786 TSG327690:TSG327786 UCC327690:UCC327786 ULY327690:ULY327786 UVU327690:UVU327786 VFQ327690:VFQ327786 VPM327690:VPM327786 VZI327690:VZI327786 WJE327690:WJE327786 WTA327690:WTA327786 A393226:A393322 GO393226:GO393322 QK393226:QK393322 AAG393226:AAG393322 AKC393226:AKC393322 ATY393226:ATY393322 BDU393226:BDU393322 BNQ393226:BNQ393322 BXM393226:BXM393322 CHI393226:CHI393322 CRE393226:CRE393322 DBA393226:DBA393322 DKW393226:DKW393322 DUS393226:DUS393322 EEO393226:EEO393322 EOK393226:EOK393322 EYG393226:EYG393322 FIC393226:FIC393322 FRY393226:FRY393322 GBU393226:GBU393322 GLQ393226:GLQ393322 GVM393226:GVM393322 HFI393226:HFI393322 HPE393226:HPE393322 HZA393226:HZA393322 IIW393226:IIW393322 ISS393226:ISS393322 JCO393226:JCO393322 JMK393226:JMK393322 JWG393226:JWG393322 KGC393226:KGC393322 KPY393226:KPY393322 KZU393226:KZU393322 LJQ393226:LJQ393322 LTM393226:LTM393322 MDI393226:MDI393322 MNE393226:MNE393322 MXA393226:MXA393322 NGW393226:NGW393322 NQS393226:NQS393322 OAO393226:OAO393322 OKK393226:OKK393322 OUG393226:OUG393322 PEC393226:PEC393322 PNY393226:PNY393322 PXU393226:PXU393322 QHQ393226:QHQ393322 QRM393226:QRM393322 RBI393226:RBI393322 RLE393226:RLE393322 RVA393226:RVA393322 SEW393226:SEW393322 SOS393226:SOS393322 SYO393226:SYO393322 TIK393226:TIK393322 TSG393226:TSG393322 UCC393226:UCC393322 ULY393226:ULY393322 UVU393226:UVU393322 VFQ393226:VFQ393322 VPM393226:VPM393322 VZI393226:VZI393322 WJE393226:WJE393322 WTA393226:WTA393322 A458762:A458858 GO458762:GO458858 QK458762:QK458858 AAG458762:AAG458858 AKC458762:AKC458858 ATY458762:ATY458858 BDU458762:BDU458858 BNQ458762:BNQ458858 BXM458762:BXM458858 CHI458762:CHI458858 CRE458762:CRE458858 DBA458762:DBA458858 DKW458762:DKW458858 DUS458762:DUS458858 EEO458762:EEO458858 EOK458762:EOK458858 EYG458762:EYG458858 FIC458762:FIC458858 FRY458762:FRY458858 GBU458762:GBU458858 GLQ458762:GLQ458858 GVM458762:GVM458858 HFI458762:HFI458858 HPE458762:HPE458858 HZA458762:HZA458858 IIW458762:IIW458858 ISS458762:ISS458858 JCO458762:JCO458858 JMK458762:JMK458858 JWG458762:JWG458858 KGC458762:KGC458858 KPY458762:KPY458858 KZU458762:KZU458858 LJQ458762:LJQ458858 LTM458762:LTM458858 MDI458762:MDI458858 MNE458762:MNE458858 MXA458762:MXA458858 NGW458762:NGW458858 NQS458762:NQS458858 OAO458762:OAO458858 OKK458762:OKK458858 OUG458762:OUG458858 PEC458762:PEC458858 PNY458762:PNY458858 PXU458762:PXU458858 QHQ458762:QHQ458858 QRM458762:QRM458858 RBI458762:RBI458858 RLE458762:RLE458858 RVA458762:RVA458858 SEW458762:SEW458858 SOS458762:SOS458858 SYO458762:SYO458858 TIK458762:TIK458858 TSG458762:TSG458858 UCC458762:UCC458858 ULY458762:ULY458858 UVU458762:UVU458858 VFQ458762:VFQ458858 VPM458762:VPM458858 VZI458762:VZI458858 WJE458762:WJE458858 WTA458762:WTA458858 A524298:A524394 GO524298:GO524394 QK524298:QK524394 AAG524298:AAG524394 AKC524298:AKC524394 ATY524298:ATY524394 BDU524298:BDU524394 BNQ524298:BNQ524394 BXM524298:BXM524394 CHI524298:CHI524394 CRE524298:CRE524394 DBA524298:DBA524394 DKW524298:DKW524394 DUS524298:DUS524394 EEO524298:EEO524394 EOK524298:EOK524394 EYG524298:EYG524394 FIC524298:FIC524394 FRY524298:FRY524394 GBU524298:GBU524394 GLQ524298:GLQ524394 GVM524298:GVM524394 HFI524298:HFI524394 HPE524298:HPE524394 HZA524298:HZA524394 IIW524298:IIW524394 ISS524298:ISS524394 JCO524298:JCO524394 JMK524298:JMK524394 JWG524298:JWG524394 KGC524298:KGC524394 KPY524298:KPY524394 KZU524298:KZU524394 LJQ524298:LJQ524394 LTM524298:LTM524394 MDI524298:MDI524394 MNE524298:MNE524394 MXA524298:MXA524394 NGW524298:NGW524394 NQS524298:NQS524394 OAO524298:OAO524394 OKK524298:OKK524394 OUG524298:OUG524394 PEC524298:PEC524394 PNY524298:PNY524394 PXU524298:PXU524394 QHQ524298:QHQ524394 QRM524298:QRM524394 RBI524298:RBI524394 RLE524298:RLE524394 RVA524298:RVA524394 SEW524298:SEW524394 SOS524298:SOS524394 SYO524298:SYO524394 TIK524298:TIK524394 TSG524298:TSG524394 UCC524298:UCC524394 ULY524298:ULY524394 UVU524298:UVU524394 VFQ524298:VFQ524394 VPM524298:VPM524394 VZI524298:VZI524394 WJE524298:WJE524394 WTA524298:WTA524394 A589834:A589930 GO589834:GO589930 QK589834:QK589930 AAG589834:AAG589930 AKC589834:AKC589930 ATY589834:ATY589930 BDU589834:BDU589930 BNQ589834:BNQ589930 BXM589834:BXM589930 CHI589834:CHI589930 CRE589834:CRE589930 DBA589834:DBA589930 DKW589834:DKW589930 DUS589834:DUS589930 EEO589834:EEO589930 EOK589834:EOK589930 EYG589834:EYG589930 FIC589834:FIC589930 FRY589834:FRY589930 GBU589834:GBU589930 GLQ589834:GLQ589930 GVM589834:GVM589930 HFI589834:HFI589930 HPE589834:HPE589930 HZA589834:HZA589930 IIW589834:IIW589930 ISS589834:ISS589930 JCO589834:JCO589930 JMK589834:JMK589930 JWG589834:JWG589930 KGC589834:KGC589930 KPY589834:KPY589930 KZU589834:KZU589930 LJQ589834:LJQ589930 LTM589834:LTM589930 MDI589834:MDI589930 MNE589834:MNE589930 MXA589834:MXA589930 NGW589834:NGW589930 NQS589834:NQS589930 OAO589834:OAO589930 OKK589834:OKK589930 OUG589834:OUG589930 PEC589834:PEC589930 PNY589834:PNY589930 PXU589834:PXU589930 QHQ589834:QHQ589930 QRM589834:QRM589930 RBI589834:RBI589930 RLE589834:RLE589930 RVA589834:RVA589930 SEW589834:SEW589930 SOS589834:SOS589930 SYO589834:SYO589930 TIK589834:TIK589930 TSG589834:TSG589930 UCC589834:UCC589930 ULY589834:ULY589930 UVU589834:UVU589930 VFQ589834:VFQ589930 VPM589834:VPM589930 VZI589834:VZI589930 WJE589834:WJE589930 WTA589834:WTA589930 A655370:A655466 GO655370:GO655466 QK655370:QK655466 AAG655370:AAG655466 AKC655370:AKC655466 ATY655370:ATY655466 BDU655370:BDU655466 BNQ655370:BNQ655466 BXM655370:BXM655466 CHI655370:CHI655466 CRE655370:CRE655466 DBA655370:DBA655466 DKW655370:DKW655466 DUS655370:DUS655466 EEO655370:EEO655466 EOK655370:EOK655466 EYG655370:EYG655466 FIC655370:FIC655466 FRY655370:FRY655466 GBU655370:GBU655466 GLQ655370:GLQ655466 GVM655370:GVM655466 HFI655370:HFI655466 HPE655370:HPE655466 HZA655370:HZA655466 IIW655370:IIW655466 ISS655370:ISS655466 JCO655370:JCO655466 JMK655370:JMK655466 JWG655370:JWG655466 KGC655370:KGC655466 KPY655370:KPY655466 KZU655370:KZU655466 LJQ655370:LJQ655466 LTM655370:LTM655466 MDI655370:MDI655466 MNE655370:MNE655466 MXA655370:MXA655466 NGW655370:NGW655466 NQS655370:NQS655466 OAO655370:OAO655466 OKK655370:OKK655466 OUG655370:OUG655466 PEC655370:PEC655466 PNY655370:PNY655466 PXU655370:PXU655466 QHQ655370:QHQ655466 QRM655370:QRM655466 RBI655370:RBI655466 RLE655370:RLE655466 RVA655370:RVA655466 SEW655370:SEW655466 SOS655370:SOS655466 SYO655370:SYO655466 TIK655370:TIK655466 TSG655370:TSG655466 UCC655370:UCC655466 ULY655370:ULY655466 UVU655370:UVU655466 VFQ655370:VFQ655466 VPM655370:VPM655466 VZI655370:VZI655466 WJE655370:WJE655466 WTA655370:WTA655466 A720906:A721002 GO720906:GO721002 QK720906:QK721002 AAG720906:AAG721002 AKC720906:AKC721002 ATY720906:ATY721002 BDU720906:BDU721002 BNQ720906:BNQ721002 BXM720906:BXM721002 CHI720906:CHI721002 CRE720906:CRE721002 DBA720906:DBA721002 DKW720906:DKW721002 DUS720906:DUS721002 EEO720906:EEO721002 EOK720906:EOK721002 EYG720906:EYG721002 FIC720906:FIC721002 FRY720906:FRY721002 GBU720906:GBU721002 GLQ720906:GLQ721002 GVM720906:GVM721002 HFI720906:HFI721002 HPE720906:HPE721002 HZA720906:HZA721002 IIW720906:IIW721002 ISS720906:ISS721002 JCO720906:JCO721002 JMK720906:JMK721002 JWG720906:JWG721002 KGC720906:KGC721002 KPY720906:KPY721002 KZU720906:KZU721002 LJQ720906:LJQ721002 LTM720906:LTM721002 MDI720906:MDI721002 MNE720906:MNE721002 MXA720906:MXA721002 NGW720906:NGW721002 NQS720906:NQS721002 OAO720906:OAO721002 OKK720906:OKK721002 OUG720906:OUG721002 PEC720906:PEC721002 PNY720906:PNY721002 PXU720906:PXU721002 QHQ720906:QHQ721002 QRM720906:QRM721002 RBI720906:RBI721002 RLE720906:RLE721002 RVA720906:RVA721002 SEW720906:SEW721002 SOS720906:SOS721002 SYO720906:SYO721002 TIK720906:TIK721002 TSG720906:TSG721002 UCC720906:UCC721002 ULY720906:ULY721002 UVU720906:UVU721002 VFQ720906:VFQ721002 VPM720906:VPM721002 VZI720906:VZI721002 WJE720906:WJE721002 WTA720906:WTA721002 A786442:A786538 GO786442:GO786538 QK786442:QK786538 AAG786442:AAG786538 AKC786442:AKC786538 ATY786442:ATY786538 BDU786442:BDU786538 BNQ786442:BNQ786538 BXM786442:BXM786538 CHI786442:CHI786538 CRE786442:CRE786538 DBA786442:DBA786538 DKW786442:DKW786538 DUS786442:DUS786538 EEO786442:EEO786538 EOK786442:EOK786538 EYG786442:EYG786538 FIC786442:FIC786538 FRY786442:FRY786538 GBU786442:GBU786538 GLQ786442:GLQ786538 GVM786442:GVM786538 HFI786442:HFI786538 HPE786442:HPE786538 HZA786442:HZA786538 IIW786442:IIW786538 ISS786442:ISS786538 JCO786442:JCO786538 JMK786442:JMK786538 JWG786442:JWG786538 KGC786442:KGC786538 KPY786442:KPY786538 KZU786442:KZU786538 LJQ786442:LJQ786538 LTM786442:LTM786538 MDI786442:MDI786538 MNE786442:MNE786538 MXA786442:MXA786538 NGW786442:NGW786538 NQS786442:NQS786538 OAO786442:OAO786538 OKK786442:OKK786538 OUG786442:OUG786538 PEC786442:PEC786538 PNY786442:PNY786538 PXU786442:PXU786538 QHQ786442:QHQ786538 QRM786442:QRM786538 RBI786442:RBI786538 RLE786442:RLE786538 RVA786442:RVA786538 SEW786442:SEW786538 SOS786442:SOS786538 SYO786442:SYO786538 TIK786442:TIK786538 TSG786442:TSG786538 UCC786442:UCC786538 ULY786442:ULY786538 UVU786442:UVU786538 VFQ786442:VFQ786538 VPM786442:VPM786538 VZI786442:VZI786538 WJE786442:WJE786538 WTA786442:WTA786538 A851978:A852074 GO851978:GO852074 QK851978:QK852074 AAG851978:AAG852074 AKC851978:AKC852074 ATY851978:ATY852074 BDU851978:BDU852074 BNQ851978:BNQ852074 BXM851978:BXM852074 CHI851978:CHI852074 CRE851978:CRE852074 DBA851978:DBA852074 DKW851978:DKW852074 DUS851978:DUS852074 EEO851978:EEO852074 EOK851978:EOK852074 EYG851978:EYG852074 FIC851978:FIC852074 FRY851978:FRY852074 GBU851978:GBU852074 GLQ851978:GLQ852074 GVM851978:GVM852074 HFI851978:HFI852074 HPE851978:HPE852074 HZA851978:HZA852074 IIW851978:IIW852074 ISS851978:ISS852074 JCO851978:JCO852074 JMK851978:JMK852074 JWG851978:JWG852074 KGC851978:KGC852074 KPY851978:KPY852074 KZU851978:KZU852074 LJQ851978:LJQ852074 LTM851978:LTM852074 MDI851978:MDI852074 MNE851978:MNE852074 MXA851978:MXA852074 NGW851978:NGW852074 NQS851978:NQS852074 OAO851978:OAO852074 OKK851978:OKK852074 OUG851978:OUG852074 PEC851978:PEC852074 PNY851978:PNY852074 PXU851978:PXU852074 QHQ851978:QHQ852074 QRM851978:QRM852074 RBI851978:RBI852074 RLE851978:RLE852074 RVA851978:RVA852074 SEW851978:SEW852074 SOS851978:SOS852074 SYO851978:SYO852074 TIK851978:TIK852074 TSG851978:TSG852074 UCC851978:UCC852074 ULY851978:ULY852074 UVU851978:UVU852074 VFQ851978:VFQ852074 VPM851978:VPM852074 VZI851978:VZI852074 WJE851978:WJE852074 WTA851978:WTA852074 A917514:A917610 GO917514:GO917610 QK917514:QK917610 AAG917514:AAG917610 AKC917514:AKC917610 ATY917514:ATY917610 BDU917514:BDU917610 BNQ917514:BNQ917610 BXM917514:BXM917610 CHI917514:CHI917610 CRE917514:CRE917610 DBA917514:DBA917610 DKW917514:DKW917610 DUS917514:DUS917610 EEO917514:EEO917610 EOK917514:EOK917610 EYG917514:EYG917610 FIC917514:FIC917610 FRY917514:FRY917610 GBU917514:GBU917610 GLQ917514:GLQ917610 GVM917514:GVM917610 HFI917514:HFI917610 HPE917514:HPE917610 HZA917514:HZA917610 IIW917514:IIW917610 ISS917514:ISS917610 JCO917514:JCO917610 JMK917514:JMK917610 JWG917514:JWG917610 KGC917514:KGC917610 KPY917514:KPY917610 KZU917514:KZU917610 LJQ917514:LJQ917610 LTM917514:LTM917610 MDI917514:MDI917610 MNE917514:MNE917610 MXA917514:MXA917610 NGW917514:NGW917610 NQS917514:NQS917610 OAO917514:OAO917610 OKK917514:OKK917610 OUG917514:OUG917610 PEC917514:PEC917610 PNY917514:PNY917610 PXU917514:PXU917610 QHQ917514:QHQ917610 QRM917514:QRM917610 RBI917514:RBI917610 RLE917514:RLE917610 RVA917514:RVA917610 SEW917514:SEW917610 SOS917514:SOS917610 SYO917514:SYO917610 TIK917514:TIK917610 TSG917514:TSG917610 UCC917514:UCC917610 ULY917514:ULY917610 UVU917514:UVU917610 VFQ917514:VFQ917610 VPM917514:VPM917610 VZI917514:VZI917610 WJE917514:WJE917610 WTA917514:WTA917610 A983050:A983146 GO983050:GO983146 QK983050:QK983146 AAG983050:AAG983146 AKC983050:AKC983146 ATY983050:ATY983146 BDU983050:BDU983146 BNQ983050:BNQ983146 BXM983050:BXM983146 CHI983050:CHI983146 CRE983050:CRE983146 DBA983050:DBA983146 DKW983050:DKW983146 DUS983050:DUS983146 EEO983050:EEO983146 EOK983050:EOK983146 EYG983050:EYG983146 FIC983050:FIC983146 FRY983050:FRY983146 GBU983050:GBU983146 GLQ983050:GLQ983146 GVM983050:GVM983146 HFI983050:HFI983146 HPE983050:HPE983146 HZA983050:HZA983146 IIW983050:IIW983146 ISS983050:ISS983146 JCO983050:JCO983146 JMK983050:JMK983146 JWG983050:JWG983146 KGC983050:KGC983146 KPY983050:KPY983146 KZU983050:KZU983146 LJQ983050:LJQ983146 LTM983050:LTM983146 MDI983050:MDI983146 MNE983050:MNE983146 MXA983050:MXA983146 NGW983050:NGW983146 NQS983050:NQS983146 OAO983050:OAO983146 OKK983050:OKK983146 OUG983050:OUG983146 PEC983050:PEC983146 PNY983050:PNY983146 PXU983050:PXU983146 QHQ983050:QHQ983146 QRM983050:QRM983146 RBI983050:RBI983146 RLE983050:RLE983146 RVA983050:RVA983146 SEW983050:SEW983146 SOS983050:SOS983146 SYO983050:SYO983146 TIK983050:TIK983146 TSG983050:TSG983146 UCC983050:UCC983146 ULY983050:ULY983146 UVU983050:UVU983146 VFQ983050:VFQ983146 VPM983050:VPM983146 VZI983050:VZI983146 WJE983050:WJE983146 WTA983050:WTA983146 WJE15:WJE106 VZI15:VZI106 VPM15:VPM106 VFQ15:VFQ106 UVU15:UVU106 ULY15:ULY106 UCC15:UCC106 TSG15:TSG106 TIK15:TIK106 SYO15:SYO106 SOS15:SOS106 SEW15:SEW106 RVA15:RVA106 RLE15:RLE106 RBI15:RBI106 QRM15:QRM106 QHQ15:QHQ106 PXU15:PXU106 PNY15:PNY106 PEC15:PEC106 OUG15:OUG106 OKK15:OKK106 OAO15:OAO106 NQS15:NQS106 NGW15:NGW106 MXA15:MXA106 MNE15:MNE106 MDI15:MDI106 LTM15:LTM106 LJQ15:LJQ106 KZU15:KZU106 KPY15:KPY106 KGC15:KGC106 JWG15:JWG106 JMK15:JMK106 JCO15:JCO106 ISS15:ISS106 IIW15:IIW106 HZA15:HZA106 HPE15:HPE106 HFI15:HFI106 GVM15:GVM106 GLQ15:GLQ106 GBU15:GBU106 FRY15:FRY106 FIC15:FIC106 EYG15:EYG106 EOK15:EOK106 EEO15:EEO106 DUS15:DUS106 DKW15:DKW106 DBA15:DBA106 CRE15:CRE106 CHI15:CHI106 BXM15:BXM106 BNQ15:BNQ106 BDU15:BDU106 ATY15:ATY106 AKC15:AKC106 AAG15:AAG106 QK15:QK106 GO15:GO106 WTA15:WTA106 A8:A106"/>
    <dataValidation allowBlank="1" showInputMessage="1" showErrorMessage="1" prompt="sai thời điểm bổ nhiệm, TNNG vượt hơn 2 mức" sqref="F43"/>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allowBlank="1" showInputMessage="1" showErrorMessage="1" prompt="nhap chinh xac">
          <xm:sqref>HQ65546:HV65642 RM65546:RR65642 ABI65546:ABN65642 ALE65546:ALJ65642 AVA65546:AVF65642 BEW65546:BFB65642 BOS65546:BOX65642 BYO65546:BYT65642 CIK65546:CIP65642 CSG65546:CSL65642 DCC65546:DCH65642 DLY65546:DMD65642 DVU65546:DVZ65642 EFQ65546:EFV65642 EPM65546:EPR65642 EZI65546:EZN65642 FJE65546:FJJ65642 FTA65546:FTF65642 GCW65546:GDB65642 GMS65546:GMX65642 GWO65546:GWT65642 HGK65546:HGP65642 HQG65546:HQL65642 IAC65546:IAH65642 IJY65546:IKD65642 ITU65546:ITZ65642 JDQ65546:JDV65642 JNM65546:JNR65642 JXI65546:JXN65642 KHE65546:KHJ65642 KRA65546:KRF65642 LAW65546:LBB65642 LKS65546:LKX65642 LUO65546:LUT65642 MEK65546:MEP65642 MOG65546:MOL65642 MYC65546:MYH65642 NHY65546:NID65642 NRU65546:NRZ65642 OBQ65546:OBV65642 OLM65546:OLR65642 OVI65546:OVN65642 PFE65546:PFJ65642 PPA65546:PPF65642 PYW65546:PZB65642 QIS65546:QIX65642 QSO65546:QST65642 RCK65546:RCP65642 RMG65546:RML65642 RWC65546:RWH65642 SFY65546:SGD65642 SPU65546:SPZ65642 SZQ65546:SZV65642 TJM65546:TJR65642 TTI65546:TTN65642 UDE65546:UDJ65642 UNA65546:UNF65642 UWW65546:UXB65642 VGS65546:VGX65642 VQO65546:VQT65642 WAK65546:WAP65642 WKG65546:WKL65642 WUC65546:WUH65642 HQ131082:HV131178 RM131082:RR131178 ABI131082:ABN131178 ALE131082:ALJ131178 AVA131082:AVF131178 BEW131082:BFB131178 BOS131082:BOX131178 BYO131082:BYT131178 CIK131082:CIP131178 CSG131082:CSL131178 DCC131082:DCH131178 DLY131082:DMD131178 DVU131082:DVZ131178 EFQ131082:EFV131178 EPM131082:EPR131178 EZI131082:EZN131178 FJE131082:FJJ131178 FTA131082:FTF131178 GCW131082:GDB131178 GMS131082:GMX131178 GWO131082:GWT131178 HGK131082:HGP131178 HQG131082:HQL131178 IAC131082:IAH131178 IJY131082:IKD131178 ITU131082:ITZ131178 JDQ131082:JDV131178 JNM131082:JNR131178 JXI131082:JXN131178 KHE131082:KHJ131178 KRA131082:KRF131178 LAW131082:LBB131178 LKS131082:LKX131178 LUO131082:LUT131178 MEK131082:MEP131178 MOG131082:MOL131178 MYC131082:MYH131178 NHY131082:NID131178 NRU131082:NRZ131178 OBQ131082:OBV131178 OLM131082:OLR131178 OVI131082:OVN131178 PFE131082:PFJ131178 PPA131082:PPF131178 PYW131082:PZB131178 QIS131082:QIX131178 QSO131082:QST131178 RCK131082:RCP131178 RMG131082:RML131178 RWC131082:RWH131178 SFY131082:SGD131178 SPU131082:SPZ131178 SZQ131082:SZV131178 TJM131082:TJR131178 TTI131082:TTN131178 UDE131082:UDJ131178 UNA131082:UNF131178 UWW131082:UXB131178 VGS131082:VGX131178 VQO131082:VQT131178 WAK131082:WAP131178 WKG131082:WKL131178 WUC131082:WUH131178 HQ196618:HV196714 RM196618:RR196714 ABI196618:ABN196714 ALE196618:ALJ196714 AVA196618:AVF196714 BEW196618:BFB196714 BOS196618:BOX196714 BYO196618:BYT196714 CIK196618:CIP196714 CSG196618:CSL196714 DCC196618:DCH196714 DLY196618:DMD196714 DVU196618:DVZ196714 EFQ196618:EFV196714 EPM196618:EPR196714 EZI196618:EZN196714 FJE196618:FJJ196714 FTA196618:FTF196714 GCW196618:GDB196714 GMS196618:GMX196714 GWO196618:GWT196714 HGK196618:HGP196714 HQG196618:HQL196714 IAC196618:IAH196714 IJY196618:IKD196714 ITU196618:ITZ196714 JDQ196618:JDV196714 JNM196618:JNR196714 JXI196618:JXN196714 KHE196618:KHJ196714 KRA196618:KRF196714 LAW196618:LBB196714 LKS196618:LKX196714 LUO196618:LUT196714 MEK196618:MEP196714 MOG196618:MOL196714 MYC196618:MYH196714 NHY196618:NID196714 NRU196618:NRZ196714 OBQ196618:OBV196714 OLM196618:OLR196714 OVI196618:OVN196714 PFE196618:PFJ196714 PPA196618:PPF196714 PYW196618:PZB196714 QIS196618:QIX196714 QSO196618:QST196714 RCK196618:RCP196714 RMG196618:RML196714 RWC196618:RWH196714 SFY196618:SGD196714 SPU196618:SPZ196714 SZQ196618:SZV196714 TJM196618:TJR196714 TTI196618:TTN196714 UDE196618:UDJ196714 UNA196618:UNF196714 UWW196618:UXB196714 VGS196618:VGX196714 VQO196618:VQT196714 WAK196618:WAP196714 WKG196618:WKL196714 WUC196618:WUH196714 HQ262154:HV262250 RM262154:RR262250 ABI262154:ABN262250 ALE262154:ALJ262250 AVA262154:AVF262250 BEW262154:BFB262250 BOS262154:BOX262250 BYO262154:BYT262250 CIK262154:CIP262250 CSG262154:CSL262250 DCC262154:DCH262250 DLY262154:DMD262250 DVU262154:DVZ262250 EFQ262154:EFV262250 EPM262154:EPR262250 EZI262154:EZN262250 FJE262154:FJJ262250 FTA262154:FTF262250 GCW262154:GDB262250 GMS262154:GMX262250 GWO262154:GWT262250 HGK262154:HGP262250 HQG262154:HQL262250 IAC262154:IAH262250 IJY262154:IKD262250 ITU262154:ITZ262250 JDQ262154:JDV262250 JNM262154:JNR262250 JXI262154:JXN262250 KHE262154:KHJ262250 KRA262154:KRF262250 LAW262154:LBB262250 LKS262154:LKX262250 LUO262154:LUT262250 MEK262154:MEP262250 MOG262154:MOL262250 MYC262154:MYH262250 NHY262154:NID262250 NRU262154:NRZ262250 OBQ262154:OBV262250 OLM262154:OLR262250 OVI262154:OVN262250 PFE262154:PFJ262250 PPA262154:PPF262250 PYW262154:PZB262250 QIS262154:QIX262250 QSO262154:QST262250 RCK262154:RCP262250 RMG262154:RML262250 RWC262154:RWH262250 SFY262154:SGD262250 SPU262154:SPZ262250 SZQ262154:SZV262250 TJM262154:TJR262250 TTI262154:TTN262250 UDE262154:UDJ262250 UNA262154:UNF262250 UWW262154:UXB262250 VGS262154:VGX262250 VQO262154:VQT262250 WAK262154:WAP262250 WKG262154:WKL262250 WUC262154:WUH262250 HQ327690:HV327786 RM327690:RR327786 ABI327690:ABN327786 ALE327690:ALJ327786 AVA327690:AVF327786 BEW327690:BFB327786 BOS327690:BOX327786 BYO327690:BYT327786 CIK327690:CIP327786 CSG327690:CSL327786 DCC327690:DCH327786 DLY327690:DMD327786 DVU327690:DVZ327786 EFQ327690:EFV327786 EPM327690:EPR327786 EZI327690:EZN327786 FJE327690:FJJ327786 FTA327690:FTF327786 GCW327690:GDB327786 GMS327690:GMX327786 GWO327690:GWT327786 HGK327690:HGP327786 HQG327690:HQL327786 IAC327690:IAH327786 IJY327690:IKD327786 ITU327690:ITZ327786 JDQ327690:JDV327786 JNM327690:JNR327786 JXI327690:JXN327786 KHE327690:KHJ327786 KRA327690:KRF327786 LAW327690:LBB327786 LKS327690:LKX327786 LUO327690:LUT327786 MEK327690:MEP327786 MOG327690:MOL327786 MYC327690:MYH327786 NHY327690:NID327786 NRU327690:NRZ327786 OBQ327690:OBV327786 OLM327690:OLR327786 OVI327690:OVN327786 PFE327690:PFJ327786 PPA327690:PPF327786 PYW327690:PZB327786 QIS327690:QIX327786 QSO327690:QST327786 RCK327690:RCP327786 RMG327690:RML327786 RWC327690:RWH327786 SFY327690:SGD327786 SPU327690:SPZ327786 SZQ327690:SZV327786 TJM327690:TJR327786 TTI327690:TTN327786 UDE327690:UDJ327786 UNA327690:UNF327786 UWW327690:UXB327786 VGS327690:VGX327786 VQO327690:VQT327786 WAK327690:WAP327786 WKG327690:WKL327786 WUC327690:WUH327786 HQ393226:HV393322 RM393226:RR393322 ABI393226:ABN393322 ALE393226:ALJ393322 AVA393226:AVF393322 BEW393226:BFB393322 BOS393226:BOX393322 BYO393226:BYT393322 CIK393226:CIP393322 CSG393226:CSL393322 DCC393226:DCH393322 DLY393226:DMD393322 DVU393226:DVZ393322 EFQ393226:EFV393322 EPM393226:EPR393322 EZI393226:EZN393322 FJE393226:FJJ393322 FTA393226:FTF393322 GCW393226:GDB393322 GMS393226:GMX393322 GWO393226:GWT393322 HGK393226:HGP393322 HQG393226:HQL393322 IAC393226:IAH393322 IJY393226:IKD393322 ITU393226:ITZ393322 JDQ393226:JDV393322 JNM393226:JNR393322 JXI393226:JXN393322 KHE393226:KHJ393322 KRA393226:KRF393322 LAW393226:LBB393322 LKS393226:LKX393322 LUO393226:LUT393322 MEK393226:MEP393322 MOG393226:MOL393322 MYC393226:MYH393322 NHY393226:NID393322 NRU393226:NRZ393322 OBQ393226:OBV393322 OLM393226:OLR393322 OVI393226:OVN393322 PFE393226:PFJ393322 PPA393226:PPF393322 PYW393226:PZB393322 QIS393226:QIX393322 QSO393226:QST393322 RCK393226:RCP393322 RMG393226:RML393322 RWC393226:RWH393322 SFY393226:SGD393322 SPU393226:SPZ393322 SZQ393226:SZV393322 TJM393226:TJR393322 TTI393226:TTN393322 UDE393226:UDJ393322 UNA393226:UNF393322 UWW393226:UXB393322 VGS393226:VGX393322 VQO393226:VQT393322 WAK393226:WAP393322 WKG393226:WKL393322 WUC393226:WUH393322 HQ458762:HV458858 RM458762:RR458858 ABI458762:ABN458858 ALE458762:ALJ458858 AVA458762:AVF458858 BEW458762:BFB458858 BOS458762:BOX458858 BYO458762:BYT458858 CIK458762:CIP458858 CSG458762:CSL458858 DCC458762:DCH458858 DLY458762:DMD458858 DVU458762:DVZ458858 EFQ458762:EFV458858 EPM458762:EPR458858 EZI458762:EZN458858 FJE458762:FJJ458858 FTA458762:FTF458858 GCW458762:GDB458858 GMS458762:GMX458858 GWO458762:GWT458858 HGK458762:HGP458858 HQG458762:HQL458858 IAC458762:IAH458858 IJY458762:IKD458858 ITU458762:ITZ458858 JDQ458762:JDV458858 JNM458762:JNR458858 JXI458762:JXN458858 KHE458762:KHJ458858 KRA458762:KRF458858 LAW458762:LBB458858 LKS458762:LKX458858 LUO458762:LUT458858 MEK458762:MEP458858 MOG458762:MOL458858 MYC458762:MYH458858 NHY458762:NID458858 NRU458762:NRZ458858 OBQ458762:OBV458858 OLM458762:OLR458858 OVI458762:OVN458858 PFE458762:PFJ458858 PPA458762:PPF458858 PYW458762:PZB458858 QIS458762:QIX458858 QSO458762:QST458858 RCK458762:RCP458858 RMG458762:RML458858 RWC458762:RWH458858 SFY458762:SGD458858 SPU458762:SPZ458858 SZQ458762:SZV458858 TJM458762:TJR458858 TTI458762:TTN458858 UDE458762:UDJ458858 UNA458762:UNF458858 UWW458762:UXB458858 VGS458762:VGX458858 VQO458762:VQT458858 WAK458762:WAP458858 WKG458762:WKL458858 WUC458762:WUH458858 HQ524298:HV524394 RM524298:RR524394 ABI524298:ABN524394 ALE524298:ALJ524394 AVA524298:AVF524394 BEW524298:BFB524394 BOS524298:BOX524394 BYO524298:BYT524394 CIK524298:CIP524394 CSG524298:CSL524394 DCC524298:DCH524394 DLY524298:DMD524394 DVU524298:DVZ524394 EFQ524298:EFV524394 EPM524298:EPR524394 EZI524298:EZN524394 FJE524298:FJJ524394 FTA524298:FTF524394 GCW524298:GDB524394 GMS524298:GMX524394 GWO524298:GWT524394 HGK524298:HGP524394 HQG524298:HQL524394 IAC524298:IAH524394 IJY524298:IKD524394 ITU524298:ITZ524394 JDQ524298:JDV524394 JNM524298:JNR524394 JXI524298:JXN524394 KHE524298:KHJ524394 KRA524298:KRF524394 LAW524298:LBB524394 LKS524298:LKX524394 LUO524298:LUT524394 MEK524298:MEP524394 MOG524298:MOL524394 MYC524298:MYH524394 NHY524298:NID524394 NRU524298:NRZ524394 OBQ524298:OBV524394 OLM524298:OLR524394 OVI524298:OVN524394 PFE524298:PFJ524394 PPA524298:PPF524394 PYW524298:PZB524394 QIS524298:QIX524394 QSO524298:QST524394 RCK524298:RCP524394 RMG524298:RML524394 RWC524298:RWH524394 SFY524298:SGD524394 SPU524298:SPZ524394 SZQ524298:SZV524394 TJM524298:TJR524394 TTI524298:TTN524394 UDE524298:UDJ524394 UNA524298:UNF524394 UWW524298:UXB524394 VGS524298:VGX524394 VQO524298:VQT524394 WAK524298:WAP524394 WKG524298:WKL524394 WUC524298:WUH524394 HQ589834:HV589930 RM589834:RR589930 ABI589834:ABN589930 ALE589834:ALJ589930 AVA589834:AVF589930 BEW589834:BFB589930 BOS589834:BOX589930 BYO589834:BYT589930 CIK589834:CIP589930 CSG589834:CSL589930 DCC589834:DCH589930 DLY589834:DMD589930 DVU589834:DVZ589930 EFQ589834:EFV589930 EPM589834:EPR589930 EZI589834:EZN589930 FJE589834:FJJ589930 FTA589834:FTF589930 GCW589834:GDB589930 GMS589834:GMX589930 GWO589834:GWT589930 HGK589834:HGP589930 HQG589834:HQL589930 IAC589834:IAH589930 IJY589834:IKD589930 ITU589834:ITZ589930 JDQ589834:JDV589930 JNM589834:JNR589930 JXI589834:JXN589930 KHE589834:KHJ589930 KRA589834:KRF589930 LAW589834:LBB589930 LKS589834:LKX589930 LUO589834:LUT589930 MEK589834:MEP589930 MOG589834:MOL589930 MYC589834:MYH589930 NHY589834:NID589930 NRU589834:NRZ589930 OBQ589834:OBV589930 OLM589834:OLR589930 OVI589834:OVN589930 PFE589834:PFJ589930 PPA589834:PPF589930 PYW589834:PZB589930 QIS589834:QIX589930 QSO589834:QST589930 RCK589834:RCP589930 RMG589834:RML589930 RWC589834:RWH589930 SFY589834:SGD589930 SPU589834:SPZ589930 SZQ589834:SZV589930 TJM589834:TJR589930 TTI589834:TTN589930 UDE589834:UDJ589930 UNA589834:UNF589930 UWW589834:UXB589930 VGS589834:VGX589930 VQO589834:VQT589930 WAK589834:WAP589930 WKG589834:WKL589930 WUC589834:WUH589930 HQ655370:HV655466 RM655370:RR655466 ABI655370:ABN655466 ALE655370:ALJ655466 AVA655370:AVF655466 BEW655370:BFB655466 BOS655370:BOX655466 BYO655370:BYT655466 CIK655370:CIP655466 CSG655370:CSL655466 DCC655370:DCH655466 DLY655370:DMD655466 DVU655370:DVZ655466 EFQ655370:EFV655466 EPM655370:EPR655466 EZI655370:EZN655466 FJE655370:FJJ655466 FTA655370:FTF655466 GCW655370:GDB655466 GMS655370:GMX655466 GWO655370:GWT655466 HGK655370:HGP655466 HQG655370:HQL655466 IAC655370:IAH655466 IJY655370:IKD655466 ITU655370:ITZ655466 JDQ655370:JDV655466 JNM655370:JNR655466 JXI655370:JXN655466 KHE655370:KHJ655466 KRA655370:KRF655466 LAW655370:LBB655466 LKS655370:LKX655466 LUO655370:LUT655466 MEK655370:MEP655466 MOG655370:MOL655466 MYC655370:MYH655466 NHY655370:NID655466 NRU655370:NRZ655466 OBQ655370:OBV655466 OLM655370:OLR655466 OVI655370:OVN655466 PFE655370:PFJ655466 PPA655370:PPF655466 PYW655370:PZB655466 QIS655370:QIX655466 QSO655370:QST655466 RCK655370:RCP655466 RMG655370:RML655466 RWC655370:RWH655466 SFY655370:SGD655466 SPU655370:SPZ655466 SZQ655370:SZV655466 TJM655370:TJR655466 TTI655370:TTN655466 UDE655370:UDJ655466 UNA655370:UNF655466 UWW655370:UXB655466 VGS655370:VGX655466 VQO655370:VQT655466 WAK655370:WAP655466 WKG655370:WKL655466 WUC655370:WUH655466 HQ720906:HV721002 RM720906:RR721002 ABI720906:ABN721002 ALE720906:ALJ721002 AVA720906:AVF721002 BEW720906:BFB721002 BOS720906:BOX721002 BYO720906:BYT721002 CIK720906:CIP721002 CSG720906:CSL721002 DCC720906:DCH721002 DLY720906:DMD721002 DVU720906:DVZ721002 EFQ720906:EFV721002 EPM720906:EPR721002 EZI720906:EZN721002 FJE720906:FJJ721002 FTA720906:FTF721002 GCW720906:GDB721002 GMS720906:GMX721002 GWO720906:GWT721002 HGK720906:HGP721002 HQG720906:HQL721002 IAC720906:IAH721002 IJY720906:IKD721002 ITU720906:ITZ721002 JDQ720906:JDV721002 JNM720906:JNR721002 JXI720906:JXN721002 KHE720906:KHJ721002 KRA720906:KRF721002 LAW720906:LBB721002 LKS720906:LKX721002 LUO720906:LUT721002 MEK720906:MEP721002 MOG720906:MOL721002 MYC720906:MYH721002 NHY720906:NID721002 NRU720906:NRZ721002 OBQ720906:OBV721002 OLM720906:OLR721002 OVI720906:OVN721002 PFE720906:PFJ721002 PPA720906:PPF721002 PYW720906:PZB721002 QIS720906:QIX721002 QSO720906:QST721002 RCK720906:RCP721002 RMG720906:RML721002 RWC720906:RWH721002 SFY720906:SGD721002 SPU720906:SPZ721002 SZQ720906:SZV721002 TJM720906:TJR721002 TTI720906:TTN721002 UDE720906:UDJ721002 UNA720906:UNF721002 UWW720906:UXB721002 VGS720906:VGX721002 VQO720906:VQT721002 WAK720906:WAP721002 WKG720906:WKL721002 WUC720906:WUH721002 HQ786442:HV786538 RM786442:RR786538 ABI786442:ABN786538 ALE786442:ALJ786538 AVA786442:AVF786538 BEW786442:BFB786538 BOS786442:BOX786538 BYO786442:BYT786538 CIK786442:CIP786538 CSG786442:CSL786538 DCC786442:DCH786538 DLY786442:DMD786538 DVU786442:DVZ786538 EFQ786442:EFV786538 EPM786442:EPR786538 EZI786442:EZN786538 FJE786442:FJJ786538 FTA786442:FTF786538 GCW786442:GDB786538 GMS786442:GMX786538 GWO786442:GWT786538 HGK786442:HGP786538 HQG786442:HQL786538 IAC786442:IAH786538 IJY786442:IKD786538 ITU786442:ITZ786538 JDQ786442:JDV786538 JNM786442:JNR786538 JXI786442:JXN786538 KHE786442:KHJ786538 KRA786442:KRF786538 LAW786442:LBB786538 LKS786442:LKX786538 LUO786442:LUT786538 MEK786442:MEP786538 MOG786442:MOL786538 MYC786442:MYH786538 NHY786442:NID786538 NRU786442:NRZ786538 OBQ786442:OBV786538 OLM786442:OLR786538 OVI786442:OVN786538 PFE786442:PFJ786538 PPA786442:PPF786538 PYW786442:PZB786538 QIS786442:QIX786538 QSO786442:QST786538 RCK786442:RCP786538 RMG786442:RML786538 RWC786442:RWH786538 SFY786442:SGD786538 SPU786442:SPZ786538 SZQ786442:SZV786538 TJM786442:TJR786538 TTI786442:TTN786538 UDE786442:UDJ786538 UNA786442:UNF786538 UWW786442:UXB786538 VGS786442:VGX786538 VQO786442:VQT786538 WAK786442:WAP786538 WKG786442:WKL786538 WUC786442:WUH786538 HQ851978:HV852074 RM851978:RR852074 ABI851978:ABN852074 ALE851978:ALJ852074 AVA851978:AVF852074 BEW851978:BFB852074 BOS851978:BOX852074 BYO851978:BYT852074 CIK851978:CIP852074 CSG851978:CSL852074 DCC851978:DCH852074 DLY851978:DMD852074 DVU851978:DVZ852074 EFQ851978:EFV852074 EPM851978:EPR852074 EZI851978:EZN852074 FJE851978:FJJ852074 FTA851978:FTF852074 GCW851978:GDB852074 GMS851978:GMX852074 GWO851978:GWT852074 HGK851978:HGP852074 HQG851978:HQL852074 IAC851978:IAH852074 IJY851978:IKD852074 ITU851978:ITZ852074 JDQ851978:JDV852074 JNM851978:JNR852074 JXI851978:JXN852074 KHE851978:KHJ852074 KRA851978:KRF852074 LAW851978:LBB852074 LKS851978:LKX852074 LUO851978:LUT852074 MEK851978:MEP852074 MOG851978:MOL852074 MYC851978:MYH852074 NHY851978:NID852074 NRU851978:NRZ852074 OBQ851978:OBV852074 OLM851978:OLR852074 OVI851978:OVN852074 PFE851978:PFJ852074 PPA851978:PPF852074 PYW851978:PZB852074 QIS851978:QIX852074 QSO851978:QST852074 RCK851978:RCP852074 RMG851978:RML852074 RWC851978:RWH852074 SFY851978:SGD852074 SPU851978:SPZ852074 SZQ851978:SZV852074 TJM851978:TJR852074 TTI851978:TTN852074 UDE851978:UDJ852074 UNA851978:UNF852074 UWW851978:UXB852074 VGS851978:VGX852074 VQO851978:VQT852074 WAK851978:WAP852074 WKG851978:WKL852074 WUC851978:WUH852074 HQ917514:HV917610 RM917514:RR917610 ABI917514:ABN917610 ALE917514:ALJ917610 AVA917514:AVF917610 BEW917514:BFB917610 BOS917514:BOX917610 BYO917514:BYT917610 CIK917514:CIP917610 CSG917514:CSL917610 DCC917514:DCH917610 DLY917514:DMD917610 DVU917514:DVZ917610 EFQ917514:EFV917610 EPM917514:EPR917610 EZI917514:EZN917610 FJE917514:FJJ917610 FTA917514:FTF917610 GCW917514:GDB917610 GMS917514:GMX917610 GWO917514:GWT917610 HGK917514:HGP917610 HQG917514:HQL917610 IAC917514:IAH917610 IJY917514:IKD917610 ITU917514:ITZ917610 JDQ917514:JDV917610 JNM917514:JNR917610 JXI917514:JXN917610 KHE917514:KHJ917610 KRA917514:KRF917610 LAW917514:LBB917610 LKS917514:LKX917610 LUO917514:LUT917610 MEK917514:MEP917610 MOG917514:MOL917610 MYC917514:MYH917610 NHY917514:NID917610 NRU917514:NRZ917610 OBQ917514:OBV917610 OLM917514:OLR917610 OVI917514:OVN917610 PFE917514:PFJ917610 PPA917514:PPF917610 PYW917514:PZB917610 QIS917514:QIX917610 QSO917514:QST917610 RCK917514:RCP917610 RMG917514:RML917610 RWC917514:RWH917610 SFY917514:SGD917610 SPU917514:SPZ917610 SZQ917514:SZV917610 TJM917514:TJR917610 TTI917514:TTN917610 UDE917514:UDJ917610 UNA917514:UNF917610 UWW917514:UXB917610 VGS917514:VGX917610 VQO917514:VQT917610 WAK917514:WAP917610 WKG917514:WKL917610 WUC917514:WUH917610 HQ983050:HV983146 RM983050:RR983146 ABI983050:ABN983146 ALE983050:ALJ983146 AVA983050:AVF983146 BEW983050:BFB983146 BOS983050:BOX983146 BYO983050:BYT983146 CIK983050:CIP983146 CSG983050:CSL983146 DCC983050:DCH983146 DLY983050:DMD983146 DVU983050:DVZ983146 EFQ983050:EFV983146 EPM983050:EPR983146 EZI983050:EZN983146 FJE983050:FJJ983146 FTA983050:FTF983146 GCW983050:GDB983146 GMS983050:GMX983146 GWO983050:GWT983146 HGK983050:HGP983146 HQG983050:HQL983146 IAC983050:IAH983146 IJY983050:IKD983146 ITU983050:ITZ983146 JDQ983050:JDV983146 JNM983050:JNR983146 JXI983050:JXN983146 KHE983050:KHJ983146 KRA983050:KRF983146 LAW983050:LBB983146 LKS983050:LKX983146 LUO983050:LUT983146 MEK983050:MEP983146 MOG983050:MOL983146 MYC983050:MYH983146 NHY983050:NID983146 NRU983050:NRZ983146 OBQ983050:OBV983146 OLM983050:OLR983146 OVI983050:OVN983146 PFE983050:PFJ983146 PPA983050:PPF983146 PYW983050:PZB983146 QIS983050:QIX983146 QSO983050:QST983146 RCK983050:RCP983146 RMG983050:RML983146 RWC983050:RWH983146 SFY983050:SGD983146 SPU983050:SPZ983146 SZQ983050:SZV983146 TJM983050:TJR983146 TTI983050:TTN983146 UDE983050:UDJ983146 UNA983050:UNF983146 UWW983050:UXB983146 VGS983050:VGX983146 VQO983050:VQT983146 WAK983050:WAP983146 WKG983050:WKL983146 WUC983050:WUH983146 HW65589 RS65589 ABO65589 ALK65589 AVG65589 BFC65589 BOY65589 BYU65589 CIQ65589 CSM65589 DCI65589 DME65589 DWA65589 EFW65589 EPS65589 EZO65589 FJK65589 FTG65589 GDC65589 GMY65589 GWU65589 HGQ65589 HQM65589 IAI65589 IKE65589 IUA65589 JDW65589 JNS65589 JXO65589 KHK65589 KRG65589 LBC65589 LKY65589 LUU65589 MEQ65589 MOM65589 MYI65589 NIE65589 NSA65589 OBW65589 OLS65589 OVO65589 PFK65589 PPG65589 PZC65589 QIY65589 QSU65589 RCQ65589 RMM65589 RWI65589 SGE65589 SQA65589 SZW65589 TJS65589 TTO65589 UDK65589 UNG65589 UXC65589 VGY65589 VQU65589 WAQ65589 WKM65589 WUI65589 HW131125 RS131125 ABO131125 ALK131125 AVG131125 BFC131125 BOY131125 BYU131125 CIQ131125 CSM131125 DCI131125 DME131125 DWA131125 EFW131125 EPS131125 EZO131125 FJK131125 FTG131125 GDC131125 GMY131125 GWU131125 HGQ131125 HQM131125 IAI131125 IKE131125 IUA131125 JDW131125 JNS131125 JXO131125 KHK131125 KRG131125 LBC131125 LKY131125 LUU131125 MEQ131125 MOM131125 MYI131125 NIE131125 NSA131125 OBW131125 OLS131125 OVO131125 PFK131125 PPG131125 PZC131125 QIY131125 QSU131125 RCQ131125 RMM131125 RWI131125 SGE131125 SQA131125 SZW131125 TJS131125 TTO131125 UDK131125 UNG131125 UXC131125 VGY131125 VQU131125 WAQ131125 WKM131125 WUI131125 HW196661 RS196661 ABO196661 ALK196661 AVG196661 BFC196661 BOY196661 BYU196661 CIQ196661 CSM196661 DCI196661 DME196661 DWA196661 EFW196661 EPS196661 EZO196661 FJK196661 FTG196661 GDC196661 GMY196661 GWU196661 HGQ196661 HQM196661 IAI196661 IKE196661 IUA196661 JDW196661 JNS196661 JXO196661 KHK196661 KRG196661 LBC196661 LKY196661 LUU196661 MEQ196661 MOM196661 MYI196661 NIE196661 NSA196661 OBW196661 OLS196661 OVO196661 PFK196661 PPG196661 PZC196661 QIY196661 QSU196661 RCQ196661 RMM196661 RWI196661 SGE196661 SQA196661 SZW196661 TJS196661 TTO196661 UDK196661 UNG196661 UXC196661 VGY196661 VQU196661 WAQ196661 WKM196661 WUI196661 HW262197 RS262197 ABO262197 ALK262197 AVG262197 BFC262197 BOY262197 BYU262197 CIQ262197 CSM262197 DCI262197 DME262197 DWA262197 EFW262197 EPS262197 EZO262197 FJK262197 FTG262197 GDC262197 GMY262197 GWU262197 HGQ262197 HQM262197 IAI262197 IKE262197 IUA262197 JDW262197 JNS262197 JXO262197 KHK262197 KRG262197 LBC262197 LKY262197 LUU262197 MEQ262197 MOM262197 MYI262197 NIE262197 NSA262197 OBW262197 OLS262197 OVO262197 PFK262197 PPG262197 PZC262197 QIY262197 QSU262197 RCQ262197 RMM262197 RWI262197 SGE262197 SQA262197 SZW262197 TJS262197 TTO262197 UDK262197 UNG262197 UXC262197 VGY262197 VQU262197 WAQ262197 WKM262197 WUI262197 HW327733 RS327733 ABO327733 ALK327733 AVG327733 BFC327733 BOY327733 BYU327733 CIQ327733 CSM327733 DCI327733 DME327733 DWA327733 EFW327733 EPS327733 EZO327733 FJK327733 FTG327733 GDC327733 GMY327733 GWU327733 HGQ327733 HQM327733 IAI327733 IKE327733 IUA327733 JDW327733 JNS327733 JXO327733 KHK327733 KRG327733 LBC327733 LKY327733 LUU327733 MEQ327733 MOM327733 MYI327733 NIE327733 NSA327733 OBW327733 OLS327733 OVO327733 PFK327733 PPG327733 PZC327733 QIY327733 QSU327733 RCQ327733 RMM327733 RWI327733 SGE327733 SQA327733 SZW327733 TJS327733 TTO327733 UDK327733 UNG327733 UXC327733 VGY327733 VQU327733 WAQ327733 WKM327733 WUI327733 HW393269 RS393269 ABO393269 ALK393269 AVG393269 BFC393269 BOY393269 BYU393269 CIQ393269 CSM393269 DCI393269 DME393269 DWA393269 EFW393269 EPS393269 EZO393269 FJK393269 FTG393269 GDC393269 GMY393269 GWU393269 HGQ393269 HQM393269 IAI393269 IKE393269 IUA393269 JDW393269 JNS393269 JXO393269 KHK393269 KRG393269 LBC393269 LKY393269 LUU393269 MEQ393269 MOM393269 MYI393269 NIE393269 NSA393269 OBW393269 OLS393269 OVO393269 PFK393269 PPG393269 PZC393269 QIY393269 QSU393269 RCQ393269 RMM393269 RWI393269 SGE393269 SQA393269 SZW393269 TJS393269 TTO393269 UDK393269 UNG393269 UXC393269 VGY393269 VQU393269 WAQ393269 WKM393269 WUI393269 HW458805 RS458805 ABO458805 ALK458805 AVG458805 BFC458805 BOY458805 BYU458805 CIQ458805 CSM458805 DCI458805 DME458805 DWA458805 EFW458805 EPS458805 EZO458805 FJK458805 FTG458805 GDC458805 GMY458805 GWU458805 HGQ458805 HQM458805 IAI458805 IKE458805 IUA458805 JDW458805 JNS458805 JXO458805 KHK458805 KRG458805 LBC458805 LKY458805 LUU458805 MEQ458805 MOM458805 MYI458805 NIE458805 NSA458805 OBW458805 OLS458805 OVO458805 PFK458805 PPG458805 PZC458805 QIY458805 QSU458805 RCQ458805 RMM458805 RWI458805 SGE458805 SQA458805 SZW458805 TJS458805 TTO458805 UDK458805 UNG458805 UXC458805 VGY458805 VQU458805 WAQ458805 WKM458805 WUI458805 HW524341 RS524341 ABO524341 ALK524341 AVG524341 BFC524341 BOY524341 BYU524341 CIQ524341 CSM524341 DCI524341 DME524341 DWA524341 EFW524341 EPS524341 EZO524341 FJK524341 FTG524341 GDC524341 GMY524341 GWU524341 HGQ524341 HQM524341 IAI524341 IKE524341 IUA524341 JDW524341 JNS524341 JXO524341 KHK524341 KRG524341 LBC524341 LKY524341 LUU524341 MEQ524341 MOM524341 MYI524341 NIE524341 NSA524341 OBW524341 OLS524341 OVO524341 PFK524341 PPG524341 PZC524341 QIY524341 QSU524341 RCQ524341 RMM524341 RWI524341 SGE524341 SQA524341 SZW524341 TJS524341 TTO524341 UDK524341 UNG524341 UXC524341 VGY524341 VQU524341 WAQ524341 WKM524341 WUI524341 HW589877 RS589877 ABO589877 ALK589877 AVG589877 BFC589877 BOY589877 BYU589877 CIQ589877 CSM589877 DCI589877 DME589877 DWA589877 EFW589877 EPS589877 EZO589877 FJK589877 FTG589877 GDC589877 GMY589877 GWU589877 HGQ589877 HQM589877 IAI589877 IKE589877 IUA589877 JDW589877 JNS589877 JXO589877 KHK589877 KRG589877 LBC589877 LKY589877 LUU589877 MEQ589877 MOM589877 MYI589877 NIE589877 NSA589877 OBW589877 OLS589877 OVO589877 PFK589877 PPG589877 PZC589877 QIY589877 QSU589877 RCQ589877 RMM589877 RWI589877 SGE589877 SQA589877 SZW589877 TJS589877 TTO589877 UDK589877 UNG589877 UXC589877 VGY589877 VQU589877 WAQ589877 WKM589877 WUI589877 HW655413 RS655413 ABO655413 ALK655413 AVG655413 BFC655413 BOY655413 BYU655413 CIQ655413 CSM655413 DCI655413 DME655413 DWA655413 EFW655413 EPS655413 EZO655413 FJK655413 FTG655413 GDC655413 GMY655413 GWU655413 HGQ655413 HQM655413 IAI655413 IKE655413 IUA655413 JDW655413 JNS655413 JXO655413 KHK655413 KRG655413 LBC655413 LKY655413 LUU655413 MEQ655413 MOM655413 MYI655413 NIE655413 NSA655413 OBW655413 OLS655413 OVO655413 PFK655413 PPG655413 PZC655413 QIY655413 QSU655413 RCQ655413 RMM655413 RWI655413 SGE655413 SQA655413 SZW655413 TJS655413 TTO655413 UDK655413 UNG655413 UXC655413 VGY655413 VQU655413 WAQ655413 WKM655413 WUI655413 HW720949 RS720949 ABO720949 ALK720949 AVG720949 BFC720949 BOY720949 BYU720949 CIQ720949 CSM720949 DCI720949 DME720949 DWA720949 EFW720949 EPS720949 EZO720949 FJK720949 FTG720949 GDC720949 GMY720949 GWU720949 HGQ720949 HQM720949 IAI720949 IKE720949 IUA720949 JDW720949 JNS720949 JXO720949 KHK720949 KRG720949 LBC720949 LKY720949 LUU720949 MEQ720949 MOM720949 MYI720949 NIE720949 NSA720949 OBW720949 OLS720949 OVO720949 PFK720949 PPG720949 PZC720949 QIY720949 QSU720949 RCQ720949 RMM720949 RWI720949 SGE720949 SQA720949 SZW720949 TJS720949 TTO720949 UDK720949 UNG720949 UXC720949 VGY720949 VQU720949 WAQ720949 WKM720949 WUI720949 HW786485 RS786485 ABO786485 ALK786485 AVG786485 BFC786485 BOY786485 BYU786485 CIQ786485 CSM786485 DCI786485 DME786485 DWA786485 EFW786485 EPS786485 EZO786485 FJK786485 FTG786485 GDC786485 GMY786485 GWU786485 HGQ786485 HQM786485 IAI786485 IKE786485 IUA786485 JDW786485 JNS786485 JXO786485 KHK786485 KRG786485 LBC786485 LKY786485 LUU786485 MEQ786485 MOM786485 MYI786485 NIE786485 NSA786485 OBW786485 OLS786485 OVO786485 PFK786485 PPG786485 PZC786485 QIY786485 QSU786485 RCQ786485 RMM786485 RWI786485 SGE786485 SQA786485 SZW786485 TJS786485 TTO786485 UDK786485 UNG786485 UXC786485 VGY786485 VQU786485 WAQ786485 WKM786485 WUI786485 HW852021 RS852021 ABO852021 ALK852021 AVG852021 BFC852021 BOY852021 BYU852021 CIQ852021 CSM852021 DCI852021 DME852021 DWA852021 EFW852021 EPS852021 EZO852021 FJK852021 FTG852021 GDC852021 GMY852021 GWU852021 HGQ852021 HQM852021 IAI852021 IKE852021 IUA852021 JDW852021 JNS852021 JXO852021 KHK852021 KRG852021 LBC852021 LKY852021 LUU852021 MEQ852021 MOM852021 MYI852021 NIE852021 NSA852021 OBW852021 OLS852021 OVO852021 PFK852021 PPG852021 PZC852021 QIY852021 QSU852021 RCQ852021 RMM852021 RWI852021 SGE852021 SQA852021 SZW852021 TJS852021 TTO852021 UDK852021 UNG852021 UXC852021 VGY852021 VQU852021 WAQ852021 WKM852021 WUI852021 HW917557 RS917557 ABO917557 ALK917557 AVG917557 BFC917557 BOY917557 BYU917557 CIQ917557 CSM917557 DCI917557 DME917557 DWA917557 EFW917557 EPS917557 EZO917557 FJK917557 FTG917557 GDC917557 GMY917557 GWU917557 HGQ917557 HQM917557 IAI917557 IKE917557 IUA917557 JDW917557 JNS917557 JXO917557 KHK917557 KRG917557 LBC917557 LKY917557 LUU917557 MEQ917557 MOM917557 MYI917557 NIE917557 NSA917557 OBW917557 OLS917557 OVO917557 PFK917557 PPG917557 PZC917557 QIY917557 QSU917557 RCQ917557 RMM917557 RWI917557 SGE917557 SQA917557 SZW917557 TJS917557 TTO917557 UDK917557 UNG917557 UXC917557 VGY917557 VQU917557 WAQ917557 WKM917557 WUI917557 HW983093 RS983093 ABO983093 ALK983093 AVG983093 BFC983093 BOY983093 BYU983093 CIQ983093 CSM983093 DCI983093 DME983093 DWA983093 EFW983093 EPS983093 EZO983093 FJK983093 FTG983093 GDC983093 GMY983093 GWU983093 HGQ983093 HQM983093 IAI983093 IKE983093 IUA983093 JDW983093 JNS983093 JXO983093 KHK983093 KRG983093 LBC983093 LKY983093 LUU983093 MEQ983093 MOM983093 MYI983093 NIE983093 NSA983093 OBW983093 OLS983093 OVO983093 PFK983093 PPG983093 PZC983093 QIY983093 QSU983093 RCQ983093 RMM983093 RWI983093 SGE983093 SQA983093 SZW983093 TJS983093 TTO983093 UDK983093 UNG983093 UXC983093 VGY983093 VQU983093 WAQ983093 WKM983093 WUI983093 HY65589 RU65589 ABQ65589 ALM65589 AVI65589 BFE65589 BPA65589 BYW65589 CIS65589 CSO65589 DCK65589 DMG65589 DWC65589 EFY65589 EPU65589 EZQ65589 FJM65589 FTI65589 GDE65589 GNA65589 GWW65589 HGS65589 HQO65589 IAK65589 IKG65589 IUC65589 JDY65589 JNU65589 JXQ65589 KHM65589 KRI65589 LBE65589 LLA65589 LUW65589 MES65589 MOO65589 MYK65589 NIG65589 NSC65589 OBY65589 OLU65589 OVQ65589 PFM65589 PPI65589 PZE65589 QJA65589 QSW65589 RCS65589 RMO65589 RWK65589 SGG65589 SQC65589 SZY65589 TJU65589 TTQ65589 UDM65589 UNI65589 UXE65589 VHA65589 VQW65589 WAS65589 WKO65589 WUK65589 HY131125 RU131125 ABQ131125 ALM131125 AVI131125 BFE131125 BPA131125 BYW131125 CIS131125 CSO131125 DCK131125 DMG131125 DWC131125 EFY131125 EPU131125 EZQ131125 FJM131125 FTI131125 GDE131125 GNA131125 GWW131125 HGS131125 HQO131125 IAK131125 IKG131125 IUC131125 JDY131125 JNU131125 JXQ131125 KHM131125 KRI131125 LBE131125 LLA131125 LUW131125 MES131125 MOO131125 MYK131125 NIG131125 NSC131125 OBY131125 OLU131125 OVQ131125 PFM131125 PPI131125 PZE131125 QJA131125 QSW131125 RCS131125 RMO131125 RWK131125 SGG131125 SQC131125 SZY131125 TJU131125 TTQ131125 UDM131125 UNI131125 UXE131125 VHA131125 VQW131125 WAS131125 WKO131125 WUK131125 HY196661 RU196661 ABQ196661 ALM196661 AVI196661 BFE196661 BPA196661 BYW196661 CIS196661 CSO196661 DCK196661 DMG196661 DWC196661 EFY196661 EPU196661 EZQ196661 FJM196661 FTI196661 GDE196661 GNA196661 GWW196661 HGS196661 HQO196661 IAK196661 IKG196661 IUC196661 JDY196661 JNU196661 JXQ196661 KHM196661 KRI196661 LBE196661 LLA196661 LUW196661 MES196661 MOO196661 MYK196661 NIG196661 NSC196661 OBY196661 OLU196661 OVQ196661 PFM196661 PPI196661 PZE196661 QJA196661 QSW196661 RCS196661 RMO196661 RWK196661 SGG196661 SQC196661 SZY196661 TJU196661 TTQ196661 UDM196661 UNI196661 UXE196661 VHA196661 VQW196661 WAS196661 WKO196661 WUK196661 HY262197 RU262197 ABQ262197 ALM262197 AVI262197 BFE262197 BPA262197 BYW262197 CIS262197 CSO262197 DCK262197 DMG262197 DWC262197 EFY262197 EPU262197 EZQ262197 FJM262197 FTI262197 GDE262197 GNA262197 GWW262197 HGS262197 HQO262197 IAK262197 IKG262197 IUC262197 JDY262197 JNU262197 JXQ262197 KHM262197 KRI262197 LBE262197 LLA262197 LUW262197 MES262197 MOO262197 MYK262197 NIG262197 NSC262197 OBY262197 OLU262197 OVQ262197 PFM262197 PPI262197 PZE262197 QJA262197 QSW262197 RCS262197 RMO262197 RWK262197 SGG262197 SQC262197 SZY262197 TJU262197 TTQ262197 UDM262197 UNI262197 UXE262197 VHA262197 VQW262197 WAS262197 WKO262197 WUK262197 HY327733 RU327733 ABQ327733 ALM327733 AVI327733 BFE327733 BPA327733 BYW327733 CIS327733 CSO327733 DCK327733 DMG327733 DWC327733 EFY327733 EPU327733 EZQ327733 FJM327733 FTI327733 GDE327733 GNA327733 GWW327733 HGS327733 HQO327733 IAK327733 IKG327733 IUC327733 JDY327733 JNU327733 JXQ327733 KHM327733 KRI327733 LBE327733 LLA327733 LUW327733 MES327733 MOO327733 MYK327733 NIG327733 NSC327733 OBY327733 OLU327733 OVQ327733 PFM327733 PPI327733 PZE327733 QJA327733 QSW327733 RCS327733 RMO327733 RWK327733 SGG327733 SQC327733 SZY327733 TJU327733 TTQ327733 UDM327733 UNI327733 UXE327733 VHA327733 VQW327733 WAS327733 WKO327733 WUK327733 HY393269 RU393269 ABQ393269 ALM393269 AVI393269 BFE393269 BPA393269 BYW393269 CIS393269 CSO393269 DCK393269 DMG393269 DWC393269 EFY393269 EPU393269 EZQ393269 FJM393269 FTI393269 GDE393269 GNA393269 GWW393269 HGS393269 HQO393269 IAK393269 IKG393269 IUC393269 JDY393269 JNU393269 JXQ393269 KHM393269 KRI393269 LBE393269 LLA393269 LUW393269 MES393269 MOO393269 MYK393269 NIG393269 NSC393269 OBY393269 OLU393269 OVQ393269 PFM393269 PPI393269 PZE393269 QJA393269 QSW393269 RCS393269 RMO393269 RWK393269 SGG393269 SQC393269 SZY393269 TJU393269 TTQ393269 UDM393269 UNI393269 UXE393269 VHA393269 VQW393269 WAS393269 WKO393269 WUK393269 HY458805 RU458805 ABQ458805 ALM458805 AVI458805 BFE458805 BPA458805 BYW458805 CIS458805 CSO458805 DCK458805 DMG458805 DWC458805 EFY458805 EPU458805 EZQ458805 FJM458805 FTI458805 GDE458805 GNA458805 GWW458805 HGS458805 HQO458805 IAK458805 IKG458805 IUC458805 JDY458805 JNU458805 JXQ458805 KHM458805 KRI458805 LBE458805 LLA458805 LUW458805 MES458805 MOO458805 MYK458805 NIG458805 NSC458805 OBY458805 OLU458805 OVQ458805 PFM458805 PPI458805 PZE458805 QJA458805 QSW458805 RCS458805 RMO458805 RWK458805 SGG458805 SQC458805 SZY458805 TJU458805 TTQ458805 UDM458805 UNI458805 UXE458805 VHA458805 VQW458805 WAS458805 WKO458805 WUK458805 HY524341 RU524341 ABQ524341 ALM524341 AVI524341 BFE524341 BPA524341 BYW524341 CIS524341 CSO524341 DCK524341 DMG524341 DWC524341 EFY524341 EPU524341 EZQ524341 FJM524341 FTI524341 GDE524341 GNA524341 GWW524341 HGS524341 HQO524341 IAK524341 IKG524341 IUC524341 JDY524341 JNU524341 JXQ524341 KHM524341 KRI524341 LBE524341 LLA524341 LUW524341 MES524341 MOO524341 MYK524341 NIG524341 NSC524341 OBY524341 OLU524341 OVQ524341 PFM524341 PPI524341 PZE524341 QJA524341 QSW524341 RCS524341 RMO524341 RWK524341 SGG524341 SQC524341 SZY524341 TJU524341 TTQ524341 UDM524341 UNI524341 UXE524341 VHA524341 VQW524341 WAS524341 WKO524341 WUK524341 HY589877 RU589877 ABQ589877 ALM589877 AVI589877 BFE589877 BPA589877 BYW589877 CIS589877 CSO589877 DCK589877 DMG589877 DWC589877 EFY589877 EPU589877 EZQ589877 FJM589877 FTI589877 GDE589877 GNA589877 GWW589877 HGS589877 HQO589877 IAK589877 IKG589877 IUC589877 JDY589877 JNU589877 JXQ589877 KHM589877 KRI589877 LBE589877 LLA589877 LUW589877 MES589877 MOO589877 MYK589877 NIG589877 NSC589877 OBY589877 OLU589877 OVQ589877 PFM589877 PPI589877 PZE589877 QJA589877 QSW589877 RCS589877 RMO589877 RWK589877 SGG589877 SQC589877 SZY589877 TJU589877 TTQ589877 UDM589877 UNI589877 UXE589877 VHA589877 VQW589877 WAS589877 WKO589877 WUK589877 HY655413 RU655413 ABQ655413 ALM655413 AVI655413 BFE655413 BPA655413 BYW655413 CIS655413 CSO655413 DCK655413 DMG655413 DWC655413 EFY655413 EPU655413 EZQ655413 FJM655413 FTI655413 GDE655413 GNA655413 GWW655413 HGS655413 HQO655413 IAK655413 IKG655413 IUC655413 JDY655413 JNU655413 JXQ655413 KHM655413 KRI655413 LBE655413 LLA655413 LUW655413 MES655413 MOO655413 MYK655413 NIG655413 NSC655413 OBY655413 OLU655413 OVQ655413 PFM655413 PPI655413 PZE655413 QJA655413 QSW655413 RCS655413 RMO655413 RWK655413 SGG655413 SQC655413 SZY655413 TJU655413 TTQ655413 UDM655413 UNI655413 UXE655413 VHA655413 VQW655413 WAS655413 WKO655413 WUK655413 HY720949 RU720949 ABQ720949 ALM720949 AVI720949 BFE720949 BPA720949 BYW720949 CIS720949 CSO720949 DCK720949 DMG720949 DWC720949 EFY720949 EPU720949 EZQ720949 FJM720949 FTI720949 GDE720949 GNA720949 GWW720949 HGS720949 HQO720949 IAK720949 IKG720949 IUC720949 JDY720949 JNU720949 JXQ720949 KHM720949 KRI720949 LBE720949 LLA720949 LUW720949 MES720949 MOO720949 MYK720949 NIG720949 NSC720949 OBY720949 OLU720949 OVQ720949 PFM720949 PPI720949 PZE720949 QJA720949 QSW720949 RCS720949 RMO720949 RWK720949 SGG720949 SQC720949 SZY720949 TJU720949 TTQ720949 UDM720949 UNI720949 UXE720949 VHA720949 VQW720949 WAS720949 WKO720949 WUK720949 HY786485 RU786485 ABQ786485 ALM786485 AVI786485 BFE786485 BPA786485 BYW786485 CIS786485 CSO786485 DCK786485 DMG786485 DWC786485 EFY786485 EPU786485 EZQ786485 FJM786485 FTI786485 GDE786485 GNA786485 GWW786485 HGS786485 HQO786485 IAK786485 IKG786485 IUC786485 JDY786485 JNU786485 JXQ786485 KHM786485 KRI786485 LBE786485 LLA786485 LUW786485 MES786485 MOO786485 MYK786485 NIG786485 NSC786485 OBY786485 OLU786485 OVQ786485 PFM786485 PPI786485 PZE786485 QJA786485 QSW786485 RCS786485 RMO786485 RWK786485 SGG786485 SQC786485 SZY786485 TJU786485 TTQ786485 UDM786485 UNI786485 UXE786485 VHA786485 VQW786485 WAS786485 WKO786485 WUK786485 HY852021 RU852021 ABQ852021 ALM852021 AVI852021 BFE852021 BPA852021 BYW852021 CIS852021 CSO852021 DCK852021 DMG852021 DWC852021 EFY852021 EPU852021 EZQ852021 FJM852021 FTI852021 GDE852021 GNA852021 GWW852021 HGS852021 HQO852021 IAK852021 IKG852021 IUC852021 JDY852021 JNU852021 JXQ852021 KHM852021 KRI852021 LBE852021 LLA852021 LUW852021 MES852021 MOO852021 MYK852021 NIG852021 NSC852021 OBY852021 OLU852021 OVQ852021 PFM852021 PPI852021 PZE852021 QJA852021 QSW852021 RCS852021 RMO852021 RWK852021 SGG852021 SQC852021 SZY852021 TJU852021 TTQ852021 UDM852021 UNI852021 UXE852021 VHA852021 VQW852021 WAS852021 WKO852021 WUK852021 HY917557 RU917557 ABQ917557 ALM917557 AVI917557 BFE917557 BPA917557 BYW917557 CIS917557 CSO917557 DCK917557 DMG917557 DWC917557 EFY917557 EPU917557 EZQ917557 FJM917557 FTI917557 GDE917557 GNA917557 GWW917557 HGS917557 HQO917557 IAK917557 IKG917557 IUC917557 JDY917557 JNU917557 JXQ917557 KHM917557 KRI917557 LBE917557 LLA917557 LUW917557 MES917557 MOO917557 MYK917557 NIG917557 NSC917557 OBY917557 OLU917557 OVQ917557 PFM917557 PPI917557 PZE917557 QJA917557 QSW917557 RCS917557 RMO917557 RWK917557 SGG917557 SQC917557 SZY917557 TJU917557 TTQ917557 UDM917557 UNI917557 UXE917557 VHA917557 VQW917557 WAS917557 WKO917557 WUK917557 HY983093 RU983093 ABQ983093 ALM983093 AVI983093 BFE983093 BPA983093 BYW983093 CIS983093 CSO983093 DCK983093 DMG983093 DWC983093 EFY983093 EPU983093 EZQ983093 FJM983093 FTI983093 GDE983093 GNA983093 GWW983093 HGS983093 HQO983093 IAK983093 IKG983093 IUC983093 JDY983093 JNU983093 JXQ983093 KHM983093 KRI983093 LBE983093 LLA983093 LUW983093 MES983093 MOO983093 MYK983093 NIG983093 NSC983093 OBY983093 OLU983093 OVQ983093 PFM983093 PPI983093 PZE983093 QJA983093 QSW983093 RCS983093 RMO983093 RWK983093 SGG983093 SQC983093 SZY983093 TJU983093 TTQ983093 UDM983093 UNI983093 UXE983093 VHA983093 VQW983093 WAS983093 WKO983093 WUK983093 IA65589 RW65589 ABS65589 ALO65589 AVK65589 BFG65589 BPC65589 BYY65589 CIU65589 CSQ65589 DCM65589 DMI65589 DWE65589 EGA65589 EPW65589 EZS65589 FJO65589 FTK65589 GDG65589 GNC65589 GWY65589 HGU65589 HQQ65589 IAM65589 IKI65589 IUE65589 JEA65589 JNW65589 JXS65589 KHO65589 KRK65589 LBG65589 LLC65589 LUY65589 MEU65589 MOQ65589 MYM65589 NII65589 NSE65589 OCA65589 OLW65589 OVS65589 PFO65589 PPK65589 PZG65589 QJC65589 QSY65589 RCU65589 RMQ65589 RWM65589 SGI65589 SQE65589 TAA65589 TJW65589 TTS65589 UDO65589 UNK65589 UXG65589 VHC65589 VQY65589 WAU65589 WKQ65589 WUM65589 IA131125 RW131125 ABS131125 ALO131125 AVK131125 BFG131125 BPC131125 BYY131125 CIU131125 CSQ131125 DCM131125 DMI131125 DWE131125 EGA131125 EPW131125 EZS131125 FJO131125 FTK131125 GDG131125 GNC131125 GWY131125 HGU131125 HQQ131125 IAM131125 IKI131125 IUE131125 JEA131125 JNW131125 JXS131125 KHO131125 KRK131125 LBG131125 LLC131125 LUY131125 MEU131125 MOQ131125 MYM131125 NII131125 NSE131125 OCA131125 OLW131125 OVS131125 PFO131125 PPK131125 PZG131125 QJC131125 QSY131125 RCU131125 RMQ131125 RWM131125 SGI131125 SQE131125 TAA131125 TJW131125 TTS131125 UDO131125 UNK131125 UXG131125 VHC131125 VQY131125 WAU131125 WKQ131125 WUM131125 IA196661 RW196661 ABS196661 ALO196661 AVK196661 BFG196661 BPC196661 BYY196661 CIU196661 CSQ196661 DCM196661 DMI196661 DWE196661 EGA196661 EPW196661 EZS196661 FJO196661 FTK196661 GDG196661 GNC196661 GWY196661 HGU196661 HQQ196661 IAM196661 IKI196661 IUE196661 JEA196661 JNW196661 JXS196661 KHO196661 KRK196661 LBG196661 LLC196661 LUY196661 MEU196661 MOQ196661 MYM196661 NII196661 NSE196661 OCA196661 OLW196661 OVS196661 PFO196661 PPK196661 PZG196661 QJC196661 QSY196661 RCU196661 RMQ196661 RWM196661 SGI196661 SQE196661 TAA196661 TJW196661 TTS196661 UDO196661 UNK196661 UXG196661 VHC196661 VQY196661 WAU196661 WKQ196661 WUM196661 IA262197 RW262197 ABS262197 ALO262197 AVK262197 BFG262197 BPC262197 BYY262197 CIU262197 CSQ262197 DCM262197 DMI262197 DWE262197 EGA262197 EPW262197 EZS262197 FJO262197 FTK262197 GDG262197 GNC262197 GWY262197 HGU262197 HQQ262197 IAM262197 IKI262197 IUE262197 JEA262197 JNW262197 JXS262197 KHO262197 KRK262197 LBG262197 LLC262197 LUY262197 MEU262197 MOQ262197 MYM262197 NII262197 NSE262197 OCA262197 OLW262197 OVS262197 PFO262197 PPK262197 PZG262197 QJC262197 QSY262197 RCU262197 RMQ262197 RWM262197 SGI262197 SQE262197 TAA262197 TJW262197 TTS262197 UDO262197 UNK262197 UXG262197 VHC262197 VQY262197 WAU262197 WKQ262197 WUM262197 IA327733 RW327733 ABS327733 ALO327733 AVK327733 BFG327733 BPC327733 BYY327733 CIU327733 CSQ327733 DCM327733 DMI327733 DWE327733 EGA327733 EPW327733 EZS327733 FJO327733 FTK327733 GDG327733 GNC327733 GWY327733 HGU327733 HQQ327733 IAM327733 IKI327733 IUE327733 JEA327733 JNW327733 JXS327733 KHO327733 KRK327733 LBG327733 LLC327733 LUY327733 MEU327733 MOQ327733 MYM327733 NII327733 NSE327733 OCA327733 OLW327733 OVS327733 PFO327733 PPK327733 PZG327733 QJC327733 QSY327733 RCU327733 RMQ327733 RWM327733 SGI327733 SQE327733 TAA327733 TJW327733 TTS327733 UDO327733 UNK327733 UXG327733 VHC327733 VQY327733 WAU327733 WKQ327733 WUM327733 IA393269 RW393269 ABS393269 ALO393269 AVK393269 BFG393269 BPC393269 BYY393269 CIU393269 CSQ393269 DCM393269 DMI393269 DWE393269 EGA393269 EPW393269 EZS393269 FJO393269 FTK393269 GDG393269 GNC393269 GWY393269 HGU393269 HQQ393269 IAM393269 IKI393269 IUE393269 JEA393269 JNW393269 JXS393269 KHO393269 KRK393269 LBG393269 LLC393269 LUY393269 MEU393269 MOQ393269 MYM393269 NII393269 NSE393269 OCA393269 OLW393269 OVS393269 PFO393269 PPK393269 PZG393269 QJC393269 QSY393269 RCU393269 RMQ393269 RWM393269 SGI393269 SQE393269 TAA393269 TJW393269 TTS393269 UDO393269 UNK393269 UXG393269 VHC393269 VQY393269 WAU393269 WKQ393269 WUM393269 IA458805 RW458805 ABS458805 ALO458805 AVK458805 BFG458805 BPC458805 BYY458805 CIU458805 CSQ458805 DCM458805 DMI458805 DWE458805 EGA458805 EPW458805 EZS458805 FJO458805 FTK458805 GDG458805 GNC458805 GWY458805 HGU458805 HQQ458805 IAM458805 IKI458805 IUE458805 JEA458805 JNW458805 JXS458805 KHO458805 KRK458805 LBG458805 LLC458805 LUY458805 MEU458805 MOQ458805 MYM458805 NII458805 NSE458805 OCA458805 OLW458805 OVS458805 PFO458805 PPK458805 PZG458805 QJC458805 QSY458805 RCU458805 RMQ458805 RWM458805 SGI458805 SQE458805 TAA458805 TJW458805 TTS458805 UDO458805 UNK458805 UXG458805 VHC458805 VQY458805 WAU458805 WKQ458805 WUM458805 IA524341 RW524341 ABS524341 ALO524341 AVK524341 BFG524341 BPC524341 BYY524341 CIU524341 CSQ524341 DCM524341 DMI524341 DWE524341 EGA524341 EPW524341 EZS524341 FJO524341 FTK524341 GDG524341 GNC524341 GWY524341 HGU524341 HQQ524341 IAM524341 IKI524341 IUE524341 JEA524341 JNW524341 JXS524341 KHO524341 KRK524341 LBG524341 LLC524341 LUY524341 MEU524341 MOQ524341 MYM524341 NII524341 NSE524341 OCA524341 OLW524341 OVS524341 PFO524341 PPK524341 PZG524341 QJC524341 QSY524341 RCU524341 RMQ524341 RWM524341 SGI524341 SQE524341 TAA524341 TJW524341 TTS524341 UDO524341 UNK524341 UXG524341 VHC524341 VQY524341 WAU524341 WKQ524341 WUM524341 IA589877 RW589877 ABS589877 ALO589877 AVK589877 BFG589877 BPC589877 BYY589877 CIU589877 CSQ589877 DCM589877 DMI589877 DWE589877 EGA589877 EPW589877 EZS589877 FJO589877 FTK589877 GDG589877 GNC589877 GWY589877 HGU589877 HQQ589877 IAM589877 IKI589877 IUE589877 JEA589877 JNW589877 JXS589877 KHO589877 KRK589877 LBG589877 LLC589877 LUY589877 MEU589877 MOQ589877 MYM589877 NII589877 NSE589877 OCA589877 OLW589877 OVS589877 PFO589877 PPK589877 PZG589877 QJC589877 QSY589877 RCU589877 RMQ589877 RWM589877 SGI589877 SQE589877 TAA589877 TJW589877 TTS589877 UDO589877 UNK589877 UXG589877 VHC589877 VQY589877 WAU589877 WKQ589877 WUM589877 IA655413 RW655413 ABS655413 ALO655413 AVK655413 BFG655413 BPC655413 BYY655413 CIU655413 CSQ655413 DCM655413 DMI655413 DWE655413 EGA655413 EPW655413 EZS655413 FJO655413 FTK655413 GDG655413 GNC655413 GWY655413 HGU655413 HQQ655413 IAM655413 IKI655413 IUE655413 JEA655413 JNW655413 JXS655413 KHO655413 KRK655413 LBG655413 LLC655413 LUY655413 MEU655413 MOQ655413 MYM655413 NII655413 NSE655413 OCA655413 OLW655413 OVS655413 PFO655413 PPK655413 PZG655413 QJC655413 QSY655413 RCU655413 RMQ655413 RWM655413 SGI655413 SQE655413 TAA655413 TJW655413 TTS655413 UDO655413 UNK655413 UXG655413 VHC655413 VQY655413 WAU655413 WKQ655413 WUM655413 IA720949 RW720949 ABS720949 ALO720949 AVK720949 BFG720949 BPC720949 BYY720949 CIU720949 CSQ720949 DCM720949 DMI720949 DWE720949 EGA720949 EPW720949 EZS720949 FJO720949 FTK720949 GDG720949 GNC720949 GWY720949 HGU720949 HQQ720949 IAM720949 IKI720949 IUE720949 JEA720949 JNW720949 JXS720949 KHO720949 KRK720949 LBG720949 LLC720949 LUY720949 MEU720949 MOQ720949 MYM720949 NII720949 NSE720949 OCA720949 OLW720949 OVS720949 PFO720949 PPK720949 PZG720949 QJC720949 QSY720949 RCU720949 RMQ720949 RWM720949 SGI720949 SQE720949 TAA720949 TJW720949 TTS720949 UDO720949 UNK720949 UXG720949 VHC720949 VQY720949 WAU720949 WKQ720949 WUM720949 IA786485 RW786485 ABS786485 ALO786485 AVK786485 BFG786485 BPC786485 BYY786485 CIU786485 CSQ786485 DCM786485 DMI786485 DWE786485 EGA786485 EPW786485 EZS786485 FJO786485 FTK786485 GDG786485 GNC786485 GWY786485 HGU786485 HQQ786485 IAM786485 IKI786485 IUE786485 JEA786485 JNW786485 JXS786485 KHO786485 KRK786485 LBG786485 LLC786485 LUY786485 MEU786485 MOQ786485 MYM786485 NII786485 NSE786485 OCA786485 OLW786485 OVS786485 PFO786485 PPK786485 PZG786485 QJC786485 QSY786485 RCU786485 RMQ786485 RWM786485 SGI786485 SQE786485 TAA786485 TJW786485 TTS786485 UDO786485 UNK786485 UXG786485 VHC786485 VQY786485 WAU786485 WKQ786485 WUM786485 IA852021 RW852021 ABS852021 ALO852021 AVK852021 BFG852021 BPC852021 BYY852021 CIU852021 CSQ852021 DCM852021 DMI852021 DWE852021 EGA852021 EPW852021 EZS852021 FJO852021 FTK852021 GDG852021 GNC852021 GWY852021 HGU852021 HQQ852021 IAM852021 IKI852021 IUE852021 JEA852021 JNW852021 JXS852021 KHO852021 KRK852021 LBG852021 LLC852021 LUY852021 MEU852021 MOQ852021 MYM852021 NII852021 NSE852021 OCA852021 OLW852021 OVS852021 PFO852021 PPK852021 PZG852021 QJC852021 QSY852021 RCU852021 RMQ852021 RWM852021 SGI852021 SQE852021 TAA852021 TJW852021 TTS852021 UDO852021 UNK852021 UXG852021 VHC852021 VQY852021 WAU852021 WKQ852021 WUM852021 IA917557 RW917557 ABS917557 ALO917557 AVK917557 BFG917557 BPC917557 BYY917557 CIU917557 CSQ917557 DCM917557 DMI917557 DWE917557 EGA917557 EPW917557 EZS917557 FJO917557 FTK917557 GDG917557 GNC917557 GWY917557 HGU917557 HQQ917557 IAM917557 IKI917557 IUE917557 JEA917557 JNW917557 JXS917557 KHO917557 KRK917557 LBG917557 LLC917557 LUY917557 MEU917557 MOQ917557 MYM917557 NII917557 NSE917557 OCA917557 OLW917557 OVS917557 PFO917557 PPK917557 PZG917557 QJC917557 QSY917557 RCU917557 RMQ917557 RWM917557 SGI917557 SQE917557 TAA917557 TJW917557 TTS917557 UDO917557 UNK917557 UXG917557 VHC917557 VQY917557 WAU917557 WKQ917557 WUM917557 IA983093 RW983093 ABS983093 ALO983093 AVK983093 BFG983093 BPC983093 BYY983093 CIU983093 CSQ983093 DCM983093 DMI983093 DWE983093 EGA983093 EPW983093 EZS983093 FJO983093 FTK983093 GDG983093 GNC983093 GWY983093 HGU983093 HQQ983093 IAM983093 IKI983093 IUE983093 JEA983093 JNW983093 JXS983093 KHO983093 KRK983093 LBG983093 LLC983093 LUY983093 MEU983093 MOQ983093 MYM983093 NII983093 NSE983093 OCA983093 OLW983093 OVS983093 PFO983093 PPK983093 PZG983093 QJC983093 QSY983093 RCU983093 RMQ983093 RWM983093 SGI983093 SQE983093 TAA983093 TJW983093 TTS983093 UDO983093 UNK983093 UXG983093 VHC983093 VQY983093 WAU983093 WKQ983093 WUM983093 IE65589 SA65589 ABW65589 ALS65589 AVO65589 BFK65589 BPG65589 BZC65589 CIY65589 CSU65589 DCQ65589 DMM65589 DWI65589 EGE65589 EQA65589 EZW65589 FJS65589 FTO65589 GDK65589 GNG65589 GXC65589 HGY65589 HQU65589 IAQ65589 IKM65589 IUI65589 JEE65589 JOA65589 JXW65589 KHS65589 KRO65589 LBK65589 LLG65589 LVC65589 MEY65589 MOU65589 MYQ65589 NIM65589 NSI65589 OCE65589 OMA65589 OVW65589 PFS65589 PPO65589 PZK65589 QJG65589 QTC65589 RCY65589 RMU65589 RWQ65589 SGM65589 SQI65589 TAE65589 TKA65589 TTW65589 UDS65589 UNO65589 UXK65589 VHG65589 VRC65589 WAY65589 WKU65589 WUQ65589 IE131125 SA131125 ABW131125 ALS131125 AVO131125 BFK131125 BPG131125 BZC131125 CIY131125 CSU131125 DCQ131125 DMM131125 DWI131125 EGE131125 EQA131125 EZW131125 FJS131125 FTO131125 GDK131125 GNG131125 GXC131125 HGY131125 HQU131125 IAQ131125 IKM131125 IUI131125 JEE131125 JOA131125 JXW131125 KHS131125 KRO131125 LBK131125 LLG131125 LVC131125 MEY131125 MOU131125 MYQ131125 NIM131125 NSI131125 OCE131125 OMA131125 OVW131125 PFS131125 PPO131125 PZK131125 QJG131125 QTC131125 RCY131125 RMU131125 RWQ131125 SGM131125 SQI131125 TAE131125 TKA131125 TTW131125 UDS131125 UNO131125 UXK131125 VHG131125 VRC131125 WAY131125 WKU131125 WUQ131125 IE196661 SA196661 ABW196661 ALS196661 AVO196661 BFK196661 BPG196661 BZC196661 CIY196661 CSU196661 DCQ196661 DMM196661 DWI196661 EGE196661 EQA196661 EZW196661 FJS196661 FTO196661 GDK196661 GNG196661 GXC196661 HGY196661 HQU196661 IAQ196661 IKM196661 IUI196661 JEE196661 JOA196661 JXW196661 KHS196661 KRO196661 LBK196661 LLG196661 LVC196661 MEY196661 MOU196661 MYQ196661 NIM196661 NSI196661 OCE196661 OMA196661 OVW196661 PFS196661 PPO196661 PZK196661 QJG196661 QTC196661 RCY196661 RMU196661 RWQ196661 SGM196661 SQI196661 TAE196661 TKA196661 TTW196661 UDS196661 UNO196661 UXK196661 VHG196661 VRC196661 WAY196661 WKU196661 WUQ196661 IE262197 SA262197 ABW262197 ALS262197 AVO262197 BFK262197 BPG262197 BZC262197 CIY262197 CSU262197 DCQ262197 DMM262197 DWI262197 EGE262197 EQA262197 EZW262197 FJS262197 FTO262197 GDK262197 GNG262197 GXC262197 HGY262197 HQU262197 IAQ262197 IKM262197 IUI262197 JEE262197 JOA262197 JXW262197 KHS262197 KRO262197 LBK262197 LLG262197 LVC262197 MEY262197 MOU262197 MYQ262197 NIM262197 NSI262197 OCE262197 OMA262197 OVW262197 PFS262197 PPO262197 PZK262197 QJG262197 QTC262197 RCY262197 RMU262197 RWQ262197 SGM262197 SQI262197 TAE262197 TKA262197 TTW262197 UDS262197 UNO262197 UXK262197 VHG262197 VRC262197 WAY262197 WKU262197 WUQ262197 IE327733 SA327733 ABW327733 ALS327733 AVO327733 BFK327733 BPG327733 BZC327733 CIY327733 CSU327733 DCQ327733 DMM327733 DWI327733 EGE327733 EQA327733 EZW327733 FJS327733 FTO327733 GDK327733 GNG327733 GXC327733 HGY327733 HQU327733 IAQ327733 IKM327733 IUI327733 JEE327733 JOA327733 JXW327733 KHS327733 KRO327733 LBK327733 LLG327733 LVC327733 MEY327733 MOU327733 MYQ327733 NIM327733 NSI327733 OCE327733 OMA327733 OVW327733 PFS327733 PPO327733 PZK327733 QJG327733 QTC327733 RCY327733 RMU327733 RWQ327733 SGM327733 SQI327733 TAE327733 TKA327733 TTW327733 UDS327733 UNO327733 UXK327733 VHG327733 VRC327733 WAY327733 WKU327733 WUQ327733 IE393269 SA393269 ABW393269 ALS393269 AVO393269 BFK393269 BPG393269 BZC393269 CIY393269 CSU393269 DCQ393269 DMM393269 DWI393269 EGE393269 EQA393269 EZW393269 FJS393269 FTO393269 GDK393269 GNG393269 GXC393269 HGY393269 HQU393269 IAQ393269 IKM393269 IUI393269 JEE393269 JOA393269 JXW393269 KHS393269 KRO393269 LBK393269 LLG393269 LVC393269 MEY393269 MOU393269 MYQ393269 NIM393269 NSI393269 OCE393269 OMA393269 OVW393269 PFS393269 PPO393269 PZK393269 QJG393269 QTC393269 RCY393269 RMU393269 RWQ393269 SGM393269 SQI393269 TAE393269 TKA393269 TTW393269 UDS393269 UNO393269 UXK393269 VHG393269 VRC393269 WAY393269 WKU393269 WUQ393269 IE458805 SA458805 ABW458805 ALS458805 AVO458805 BFK458805 BPG458805 BZC458805 CIY458805 CSU458805 DCQ458805 DMM458805 DWI458805 EGE458805 EQA458805 EZW458805 FJS458805 FTO458805 GDK458805 GNG458805 GXC458805 HGY458805 HQU458805 IAQ458805 IKM458805 IUI458805 JEE458805 JOA458805 JXW458805 KHS458805 KRO458805 LBK458805 LLG458805 LVC458805 MEY458805 MOU458805 MYQ458805 NIM458805 NSI458805 OCE458805 OMA458805 OVW458805 PFS458805 PPO458805 PZK458805 QJG458805 QTC458805 RCY458805 RMU458805 RWQ458805 SGM458805 SQI458805 TAE458805 TKA458805 TTW458805 UDS458805 UNO458805 UXK458805 VHG458805 VRC458805 WAY458805 WKU458805 WUQ458805 IE524341 SA524341 ABW524341 ALS524341 AVO524341 BFK524341 BPG524341 BZC524341 CIY524341 CSU524341 DCQ524341 DMM524341 DWI524341 EGE524341 EQA524341 EZW524341 FJS524341 FTO524341 GDK524341 GNG524341 GXC524341 HGY524341 HQU524341 IAQ524341 IKM524341 IUI524341 JEE524341 JOA524341 JXW524341 KHS524341 KRO524341 LBK524341 LLG524341 LVC524341 MEY524341 MOU524341 MYQ524341 NIM524341 NSI524341 OCE524341 OMA524341 OVW524341 PFS524341 PPO524341 PZK524341 QJG524341 QTC524341 RCY524341 RMU524341 RWQ524341 SGM524341 SQI524341 TAE524341 TKA524341 TTW524341 UDS524341 UNO524341 UXK524341 VHG524341 VRC524341 WAY524341 WKU524341 WUQ524341 IE589877 SA589877 ABW589877 ALS589877 AVO589877 BFK589877 BPG589877 BZC589877 CIY589877 CSU589877 DCQ589877 DMM589877 DWI589877 EGE589877 EQA589877 EZW589877 FJS589877 FTO589877 GDK589877 GNG589877 GXC589877 HGY589877 HQU589877 IAQ589877 IKM589877 IUI589877 JEE589877 JOA589877 JXW589877 KHS589877 KRO589877 LBK589877 LLG589877 LVC589877 MEY589877 MOU589877 MYQ589877 NIM589877 NSI589877 OCE589877 OMA589877 OVW589877 PFS589877 PPO589877 PZK589877 QJG589877 QTC589877 RCY589877 RMU589877 RWQ589877 SGM589877 SQI589877 TAE589877 TKA589877 TTW589877 UDS589877 UNO589877 UXK589877 VHG589877 VRC589877 WAY589877 WKU589877 WUQ589877 IE655413 SA655413 ABW655413 ALS655413 AVO655413 BFK655413 BPG655413 BZC655413 CIY655413 CSU655413 DCQ655413 DMM655413 DWI655413 EGE655413 EQA655413 EZW655413 FJS655413 FTO655413 GDK655413 GNG655413 GXC655413 HGY655413 HQU655413 IAQ655413 IKM655413 IUI655413 JEE655413 JOA655413 JXW655413 KHS655413 KRO655413 LBK655413 LLG655413 LVC655413 MEY655413 MOU655413 MYQ655413 NIM655413 NSI655413 OCE655413 OMA655413 OVW655413 PFS655413 PPO655413 PZK655413 QJG655413 QTC655413 RCY655413 RMU655413 RWQ655413 SGM655413 SQI655413 TAE655413 TKA655413 TTW655413 UDS655413 UNO655413 UXK655413 VHG655413 VRC655413 WAY655413 WKU655413 WUQ655413 IE720949 SA720949 ABW720949 ALS720949 AVO720949 BFK720949 BPG720949 BZC720949 CIY720949 CSU720949 DCQ720949 DMM720949 DWI720949 EGE720949 EQA720949 EZW720949 FJS720949 FTO720949 GDK720949 GNG720949 GXC720949 HGY720949 HQU720949 IAQ720949 IKM720949 IUI720949 JEE720949 JOA720949 JXW720949 KHS720949 KRO720949 LBK720949 LLG720949 LVC720949 MEY720949 MOU720949 MYQ720949 NIM720949 NSI720949 OCE720949 OMA720949 OVW720949 PFS720949 PPO720949 PZK720949 QJG720949 QTC720949 RCY720949 RMU720949 RWQ720949 SGM720949 SQI720949 TAE720949 TKA720949 TTW720949 UDS720949 UNO720949 UXK720949 VHG720949 VRC720949 WAY720949 WKU720949 WUQ720949 IE786485 SA786485 ABW786485 ALS786485 AVO786485 BFK786485 BPG786485 BZC786485 CIY786485 CSU786485 DCQ786485 DMM786485 DWI786485 EGE786485 EQA786485 EZW786485 FJS786485 FTO786485 GDK786485 GNG786485 GXC786485 HGY786485 HQU786485 IAQ786485 IKM786485 IUI786485 JEE786485 JOA786485 JXW786485 KHS786485 KRO786485 LBK786485 LLG786485 LVC786485 MEY786485 MOU786485 MYQ786485 NIM786485 NSI786485 OCE786485 OMA786485 OVW786485 PFS786485 PPO786485 PZK786485 QJG786485 QTC786485 RCY786485 RMU786485 RWQ786485 SGM786485 SQI786485 TAE786485 TKA786485 TTW786485 UDS786485 UNO786485 UXK786485 VHG786485 VRC786485 WAY786485 WKU786485 WUQ786485 IE852021 SA852021 ABW852021 ALS852021 AVO852021 BFK852021 BPG852021 BZC852021 CIY852021 CSU852021 DCQ852021 DMM852021 DWI852021 EGE852021 EQA852021 EZW852021 FJS852021 FTO852021 GDK852021 GNG852021 GXC852021 HGY852021 HQU852021 IAQ852021 IKM852021 IUI852021 JEE852021 JOA852021 JXW852021 KHS852021 KRO852021 LBK852021 LLG852021 LVC852021 MEY852021 MOU852021 MYQ852021 NIM852021 NSI852021 OCE852021 OMA852021 OVW852021 PFS852021 PPO852021 PZK852021 QJG852021 QTC852021 RCY852021 RMU852021 RWQ852021 SGM852021 SQI852021 TAE852021 TKA852021 TTW852021 UDS852021 UNO852021 UXK852021 VHG852021 VRC852021 WAY852021 WKU852021 WUQ852021 IE917557 SA917557 ABW917557 ALS917557 AVO917557 BFK917557 BPG917557 BZC917557 CIY917557 CSU917557 DCQ917557 DMM917557 DWI917557 EGE917557 EQA917557 EZW917557 FJS917557 FTO917557 GDK917557 GNG917557 GXC917557 HGY917557 HQU917557 IAQ917557 IKM917557 IUI917557 JEE917557 JOA917557 JXW917557 KHS917557 KRO917557 LBK917557 LLG917557 LVC917557 MEY917557 MOU917557 MYQ917557 NIM917557 NSI917557 OCE917557 OMA917557 OVW917557 PFS917557 PPO917557 PZK917557 QJG917557 QTC917557 RCY917557 RMU917557 RWQ917557 SGM917557 SQI917557 TAE917557 TKA917557 TTW917557 UDS917557 UNO917557 UXK917557 VHG917557 VRC917557 WAY917557 WKU917557 WUQ917557 IE983093 SA983093 ABW983093 ALS983093 AVO983093 BFK983093 BPG983093 BZC983093 CIY983093 CSU983093 DCQ983093 DMM983093 DWI983093 EGE983093 EQA983093 EZW983093 FJS983093 FTO983093 GDK983093 GNG983093 GXC983093 HGY983093 HQU983093 IAQ983093 IKM983093 IUI983093 JEE983093 JOA983093 JXW983093 KHS983093 KRO983093 LBK983093 LLG983093 LVC983093 MEY983093 MOU983093 MYQ983093 NIM983093 NSI983093 OCE983093 OMA983093 OVW983093 PFS983093 PPO983093 PZK983093 QJG983093 QTC983093 RCY983093 RMU983093 RWQ983093 SGM983093 SQI983093 TAE983093 TKA983093 TTW983093 UDS983093 UNO983093 UXK983093 VHG983093 VRC983093 WAY983093 WKU983093 WUQ983093 IG65589 SC65589 ABY65589 ALU65589 AVQ65589 BFM65589 BPI65589 BZE65589 CJA65589 CSW65589 DCS65589 DMO65589 DWK65589 EGG65589 EQC65589 EZY65589 FJU65589 FTQ65589 GDM65589 GNI65589 GXE65589 HHA65589 HQW65589 IAS65589 IKO65589 IUK65589 JEG65589 JOC65589 JXY65589 KHU65589 KRQ65589 LBM65589 LLI65589 LVE65589 MFA65589 MOW65589 MYS65589 NIO65589 NSK65589 OCG65589 OMC65589 OVY65589 PFU65589 PPQ65589 PZM65589 QJI65589 QTE65589 RDA65589 RMW65589 RWS65589 SGO65589 SQK65589 TAG65589 TKC65589 TTY65589 UDU65589 UNQ65589 UXM65589 VHI65589 VRE65589 WBA65589 WKW65589 WUS65589 IG131125 SC131125 ABY131125 ALU131125 AVQ131125 BFM131125 BPI131125 BZE131125 CJA131125 CSW131125 DCS131125 DMO131125 DWK131125 EGG131125 EQC131125 EZY131125 FJU131125 FTQ131125 GDM131125 GNI131125 GXE131125 HHA131125 HQW131125 IAS131125 IKO131125 IUK131125 JEG131125 JOC131125 JXY131125 KHU131125 KRQ131125 LBM131125 LLI131125 LVE131125 MFA131125 MOW131125 MYS131125 NIO131125 NSK131125 OCG131125 OMC131125 OVY131125 PFU131125 PPQ131125 PZM131125 QJI131125 QTE131125 RDA131125 RMW131125 RWS131125 SGO131125 SQK131125 TAG131125 TKC131125 TTY131125 UDU131125 UNQ131125 UXM131125 VHI131125 VRE131125 WBA131125 WKW131125 WUS131125 IG196661 SC196661 ABY196661 ALU196661 AVQ196661 BFM196661 BPI196661 BZE196661 CJA196661 CSW196661 DCS196661 DMO196661 DWK196661 EGG196661 EQC196661 EZY196661 FJU196661 FTQ196661 GDM196661 GNI196661 GXE196661 HHA196661 HQW196661 IAS196661 IKO196661 IUK196661 JEG196661 JOC196661 JXY196661 KHU196661 KRQ196661 LBM196661 LLI196661 LVE196661 MFA196661 MOW196661 MYS196661 NIO196661 NSK196661 OCG196661 OMC196661 OVY196661 PFU196661 PPQ196661 PZM196661 QJI196661 QTE196661 RDA196661 RMW196661 RWS196661 SGO196661 SQK196661 TAG196661 TKC196661 TTY196661 UDU196661 UNQ196661 UXM196661 VHI196661 VRE196661 WBA196661 WKW196661 WUS196661 IG262197 SC262197 ABY262197 ALU262197 AVQ262197 BFM262197 BPI262197 BZE262197 CJA262197 CSW262197 DCS262197 DMO262197 DWK262197 EGG262197 EQC262197 EZY262197 FJU262197 FTQ262197 GDM262197 GNI262197 GXE262197 HHA262197 HQW262197 IAS262197 IKO262197 IUK262197 JEG262197 JOC262197 JXY262197 KHU262197 KRQ262197 LBM262197 LLI262197 LVE262197 MFA262197 MOW262197 MYS262197 NIO262197 NSK262197 OCG262197 OMC262197 OVY262197 PFU262197 PPQ262197 PZM262197 QJI262197 QTE262197 RDA262197 RMW262197 RWS262197 SGO262197 SQK262197 TAG262197 TKC262197 TTY262197 UDU262197 UNQ262197 UXM262197 VHI262197 VRE262197 WBA262197 WKW262197 WUS262197 IG327733 SC327733 ABY327733 ALU327733 AVQ327733 BFM327733 BPI327733 BZE327733 CJA327733 CSW327733 DCS327733 DMO327733 DWK327733 EGG327733 EQC327733 EZY327733 FJU327733 FTQ327733 GDM327733 GNI327733 GXE327733 HHA327733 HQW327733 IAS327733 IKO327733 IUK327733 JEG327733 JOC327733 JXY327733 KHU327733 KRQ327733 LBM327733 LLI327733 LVE327733 MFA327733 MOW327733 MYS327733 NIO327733 NSK327733 OCG327733 OMC327733 OVY327733 PFU327733 PPQ327733 PZM327733 QJI327733 QTE327733 RDA327733 RMW327733 RWS327733 SGO327733 SQK327733 TAG327733 TKC327733 TTY327733 UDU327733 UNQ327733 UXM327733 VHI327733 VRE327733 WBA327733 WKW327733 WUS327733 IG393269 SC393269 ABY393269 ALU393269 AVQ393269 BFM393269 BPI393269 BZE393269 CJA393269 CSW393269 DCS393269 DMO393269 DWK393269 EGG393269 EQC393269 EZY393269 FJU393269 FTQ393269 GDM393269 GNI393269 GXE393269 HHA393269 HQW393269 IAS393269 IKO393269 IUK393269 JEG393269 JOC393269 JXY393269 KHU393269 KRQ393269 LBM393269 LLI393269 LVE393269 MFA393269 MOW393269 MYS393269 NIO393269 NSK393269 OCG393269 OMC393269 OVY393269 PFU393269 PPQ393269 PZM393269 QJI393269 QTE393269 RDA393269 RMW393269 RWS393269 SGO393269 SQK393269 TAG393269 TKC393269 TTY393269 UDU393269 UNQ393269 UXM393269 VHI393269 VRE393269 WBA393269 WKW393269 WUS393269 IG458805 SC458805 ABY458805 ALU458805 AVQ458805 BFM458805 BPI458805 BZE458805 CJA458805 CSW458805 DCS458805 DMO458805 DWK458805 EGG458805 EQC458805 EZY458805 FJU458805 FTQ458805 GDM458805 GNI458805 GXE458805 HHA458805 HQW458805 IAS458805 IKO458805 IUK458805 JEG458805 JOC458805 JXY458805 KHU458805 KRQ458805 LBM458805 LLI458805 LVE458805 MFA458805 MOW458805 MYS458805 NIO458805 NSK458805 OCG458805 OMC458805 OVY458805 PFU458805 PPQ458805 PZM458805 QJI458805 QTE458805 RDA458805 RMW458805 RWS458805 SGO458805 SQK458805 TAG458805 TKC458805 TTY458805 UDU458805 UNQ458805 UXM458805 VHI458805 VRE458805 WBA458805 WKW458805 WUS458805 IG524341 SC524341 ABY524341 ALU524341 AVQ524341 BFM524341 BPI524341 BZE524341 CJA524341 CSW524341 DCS524341 DMO524341 DWK524341 EGG524341 EQC524341 EZY524341 FJU524341 FTQ524341 GDM524341 GNI524341 GXE524341 HHA524341 HQW524341 IAS524341 IKO524341 IUK524341 JEG524341 JOC524341 JXY524341 KHU524341 KRQ524341 LBM524341 LLI524341 LVE524341 MFA524341 MOW524341 MYS524341 NIO524341 NSK524341 OCG524341 OMC524341 OVY524341 PFU524341 PPQ524341 PZM524341 QJI524341 QTE524341 RDA524341 RMW524341 RWS524341 SGO524341 SQK524341 TAG524341 TKC524341 TTY524341 UDU524341 UNQ524341 UXM524341 VHI524341 VRE524341 WBA524341 WKW524341 WUS524341 IG589877 SC589877 ABY589877 ALU589877 AVQ589877 BFM589877 BPI589877 BZE589877 CJA589877 CSW589877 DCS589877 DMO589877 DWK589877 EGG589877 EQC589877 EZY589877 FJU589877 FTQ589877 GDM589877 GNI589877 GXE589877 HHA589877 HQW589877 IAS589877 IKO589877 IUK589877 JEG589877 JOC589877 JXY589877 KHU589877 KRQ589877 LBM589877 LLI589877 LVE589877 MFA589877 MOW589877 MYS589877 NIO589877 NSK589877 OCG589877 OMC589877 OVY589877 PFU589877 PPQ589877 PZM589877 QJI589877 QTE589877 RDA589877 RMW589877 RWS589877 SGO589877 SQK589877 TAG589877 TKC589877 TTY589877 UDU589877 UNQ589877 UXM589877 VHI589877 VRE589877 WBA589877 WKW589877 WUS589877 IG655413 SC655413 ABY655413 ALU655413 AVQ655413 BFM655413 BPI655413 BZE655413 CJA655413 CSW655413 DCS655413 DMO655413 DWK655413 EGG655413 EQC655413 EZY655413 FJU655413 FTQ655413 GDM655413 GNI655413 GXE655413 HHA655413 HQW655413 IAS655413 IKO655413 IUK655413 JEG655413 JOC655413 JXY655413 KHU655413 KRQ655413 LBM655413 LLI655413 LVE655413 MFA655413 MOW655413 MYS655413 NIO655413 NSK655413 OCG655413 OMC655413 OVY655413 PFU655413 PPQ655413 PZM655413 QJI655413 QTE655413 RDA655413 RMW655413 RWS655413 SGO655413 SQK655413 TAG655413 TKC655413 TTY655413 UDU655413 UNQ655413 UXM655413 VHI655413 VRE655413 WBA655413 WKW655413 WUS655413 IG720949 SC720949 ABY720949 ALU720949 AVQ720949 BFM720949 BPI720949 BZE720949 CJA720949 CSW720949 DCS720949 DMO720949 DWK720949 EGG720949 EQC720949 EZY720949 FJU720949 FTQ720949 GDM720949 GNI720949 GXE720949 HHA720949 HQW720949 IAS720949 IKO720949 IUK720949 JEG720949 JOC720949 JXY720949 KHU720949 KRQ720949 LBM720949 LLI720949 LVE720949 MFA720949 MOW720949 MYS720949 NIO720949 NSK720949 OCG720949 OMC720949 OVY720949 PFU720949 PPQ720949 PZM720949 QJI720949 QTE720949 RDA720949 RMW720949 RWS720949 SGO720949 SQK720949 TAG720949 TKC720949 TTY720949 UDU720949 UNQ720949 UXM720949 VHI720949 VRE720949 WBA720949 WKW720949 WUS720949 IG786485 SC786485 ABY786485 ALU786485 AVQ786485 BFM786485 BPI786485 BZE786485 CJA786485 CSW786485 DCS786485 DMO786485 DWK786485 EGG786485 EQC786485 EZY786485 FJU786485 FTQ786485 GDM786485 GNI786485 GXE786485 HHA786485 HQW786485 IAS786485 IKO786485 IUK786485 JEG786485 JOC786485 JXY786485 KHU786485 KRQ786485 LBM786485 LLI786485 LVE786485 MFA786485 MOW786485 MYS786485 NIO786485 NSK786485 OCG786485 OMC786485 OVY786485 PFU786485 PPQ786485 PZM786485 QJI786485 QTE786485 RDA786485 RMW786485 RWS786485 SGO786485 SQK786485 TAG786485 TKC786485 TTY786485 UDU786485 UNQ786485 UXM786485 VHI786485 VRE786485 WBA786485 WKW786485 WUS786485 IG852021 SC852021 ABY852021 ALU852021 AVQ852021 BFM852021 BPI852021 BZE852021 CJA852021 CSW852021 DCS852021 DMO852021 DWK852021 EGG852021 EQC852021 EZY852021 FJU852021 FTQ852021 GDM852021 GNI852021 GXE852021 HHA852021 HQW852021 IAS852021 IKO852021 IUK852021 JEG852021 JOC852021 JXY852021 KHU852021 KRQ852021 LBM852021 LLI852021 LVE852021 MFA852021 MOW852021 MYS852021 NIO852021 NSK852021 OCG852021 OMC852021 OVY852021 PFU852021 PPQ852021 PZM852021 QJI852021 QTE852021 RDA852021 RMW852021 RWS852021 SGO852021 SQK852021 TAG852021 TKC852021 TTY852021 UDU852021 UNQ852021 UXM852021 VHI852021 VRE852021 WBA852021 WKW852021 WUS852021 IG917557 SC917557 ABY917557 ALU917557 AVQ917557 BFM917557 BPI917557 BZE917557 CJA917557 CSW917557 DCS917557 DMO917557 DWK917557 EGG917557 EQC917557 EZY917557 FJU917557 FTQ917557 GDM917557 GNI917557 GXE917557 HHA917557 HQW917557 IAS917557 IKO917557 IUK917557 JEG917557 JOC917557 JXY917557 KHU917557 KRQ917557 LBM917557 LLI917557 LVE917557 MFA917557 MOW917557 MYS917557 NIO917557 NSK917557 OCG917557 OMC917557 OVY917557 PFU917557 PPQ917557 PZM917557 QJI917557 QTE917557 RDA917557 RMW917557 RWS917557 SGO917557 SQK917557 TAG917557 TKC917557 TTY917557 UDU917557 UNQ917557 UXM917557 VHI917557 VRE917557 WBA917557 WKW917557 WUS917557 IG983093 SC983093 ABY983093 ALU983093 AVQ983093 BFM983093 BPI983093 BZE983093 CJA983093 CSW983093 DCS983093 DMO983093 DWK983093 EGG983093 EQC983093 EZY983093 FJU983093 FTQ983093 GDM983093 GNI983093 GXE983093 HHA983093 HQW983093 IAS983093 IKO983093 IUK983093 JEG983093 JOC983093 JXY983093 KHU983093 KRQ983093 LBM983093 LLI983093 LVE983093 MFA983093 MOW983093 MYS983093 NIO983093 NSK983093 OCG983093 OMC983093 OVY983093 PFU983093 PPQ983093 PZM983093 QJI983093 QTE983093 RDA983093 RMW983093 RWS983093 SGO983093 SQK983093 TAG983093 TKC983093 TTY983093 UDU983093 UNQ983093 UXM983093 VHI983093 VRE983093 WBA983093 WKW983093 WUS983093 HW42 RS42 ABO42 ALK42 AVG42 BFC42 BOY42 BYU42 CIQ42 CSM42 DCI42 DME42 DWA42 EFW42 EPS42 EZO42 FJK42 FTG42 GDC42 GMY42 GWU42 HGQ42 HQM42 IAI42 IKE42 IUA42 JDW42 JNS42 JXO42 KHK42 KRG42 LBC42 LKY42 LUU42 MEQ42 MOM42 MYI42 NIE42 NSA42 OBW42 OLS42 OVO42 PFK42 PPG42 PZC42 QIY42 QSU42 RCQ42 RMM42 RWI42 SGE42 SQA42 SZW42 TJS42 TTO42 UDK42 UNG42 UXC42 VGY42 VQU42 WAQ42 WKM42 WUI42 HW65591 RS65591 ABO65591 ALK65591 AVG65591 BFC65591 BOY65591 BYU65591 CIQ65591 CSM65591 DCI65591 DME65591 DWA65591 EFW65591 EPS65591 EZO65591 FJK65591 FTG65591 GDC65591 GMY65591 GWU65591 HGQ65591 HQM65591 IAI65591 IKE65591 IUA65591 JDW65591 JNS65591 JXO65591 KHK65591 KRG65591 LBC65591 LKY65591 LUU65591 MEQ65591 MOM65591 MYI65591 NIE65591 NSA65591 OBW65591 OLS65591 OVO65591 PFK65591 PPG65591 PZC65591 QIY65591 QSU65591 RCQ65591 RMM65591 RWI65591 SGE65591 SQA65591 SZW65591 TJS65591 TTO65591 UDK65591 UNG65591 UXC65591 VGY65591 VQU65591 WAQ65591 WKM65591 WUI65591 HW131127 RS131127 ABO131127 ALK131127 AVG131127 BFC131127 BOY131127 BYU131127 CIQ131127 CSM131127 DCI131127 DME131127 DWA131127 EFW131127 EPS131127 EZO131127 FJK131127 FTG131127 GDC131127 GMY131127 GWU131127 HGQ131127 HQM131127 IAI131127 IKE131127 IUA131127 JDW131127 JNS131127 JXO131127 KHK131127 KRG131127 LBC131127 LKY131127 LUU131127 MEQ131127 MOM131127 MYI131127 NIE131127 NSA131127 OBW131127 OLS131127 OVO131127 PFK131127 PPG131127 PZC131127 QIY131127 QSU131127 RCQ131127 RMM131127 RWI131127 SGE131127 SQA131127 SZW131127 TJS131127 TTO131127 UDK131127 UNG131127 UXC131127 VGY131127 VQU131127 WAQ131127 WKM131127 WUI131127 HW196663 RS196663 ABO196663 ALK196663 AVG196663 BFC196663 BOY196663 BYU196663 CIQ196663 CSM196663 DCI196663 DME196663 DWA196663 EFW196663 EPS196663 EZO196663 FJK196663 FTG196663 GDC196663 GMY196663 GWU196663 HGQ196663 HQM196663 IAI196663 IKE196663 IUA196663 JDW196663 JNS196663 JXO196663 KHK196663 KRG196663 LBC196663 LKY196663 LUU196663 MEQ196663 MOM196663 MYI196663 NIE196663 NSA196663 OBW196663 OLS196663 OVO196663 PFK196663 PPG196663 PZC196663 QIY196663 QSU196663 RCQ196663 RMM196663 RWI196663 SGE196663 SQA196663 SZW196663 TJS196663 TTO196663 UDK196663 UNG196663 UXC196663 VGY196663 VQU196663 WAQ196663 WKM196663 WUI196663 HW262199 RS262199 ABO262199 ALK262199 AVG262199 BFC262199 BOY262199 BYU262199 CIQ262199 CSM262199 DCI262199 DME262199 DWA262199 EFW262199 EPS262199 EZO262199 FJK262199 FTG262199 GDC262199 GMY262199 GWU262199 HGQ262199 HQM262199 IAI262199 IKE262199 IUA262199 JDW262199 JNS262199 JXO262199 KHK262199 KRG262199 LBC262199 LKY262199 LUU262199 MEQ262199 MOM262199 MYI262199 NIE262199 NSA262199 OBW262199 OLS262199 OVO262199 PFK262199 PPG262199 PZC262199 QIY262199 QSU262199 RCQ262199 RMM262199 RWI262199 SGE262199 SQA262199 SZW262199 TJS262199 TTO262199 UDK262199 UNG262199 UXC262199 VGY262199 VQU262199 WAQ262199 WKM262199 WUI262199 HW327735 RS327735 ABO327735 ALK327735 AVG327735 BFC327735 BOY327735 BYU327735 CIQ327735 CSM327735 DCI327735 DME327735 DWA327735 EFW327735 EPS327735 EZO327735 FJK327735 FTG327735 GDC327735 GMY327735 GWU327735 HGQ327735 HQM327735 IAI327735 IKE327735 IUA327735 JDW327735 JNS327735 JXO327735 KHK327735 KRG327735 LBC327735 LKY327735 LUU327735 MEQ327735 MOM327735 MYI327735 NIE327735 NSA327735 OBW327735 OLS327735 OVO327735 PFK327735 PPG327735 PZC327735 QIY327735 QSU327735 RCQ327735 RMM327735 RWI327735 SGE327735 SQA327735 SZW327735 TJS327735 TTO327735 UDK327735 UNG327735 UXC327735 VGY327735 VQU327735 WAQ327735 WKM327735 WUI327735 HW393271 RS393271 ABO393271 ALK393271 AVG393271 BFC393271 BOY393271 BYU393271 CIQ393271 CSM393271 DCI393271 DME393271 DWA393271 EFW393271 EPS393271 EZO393271 FJK393271 FTG393271 GDC393271 GMY393271 GWU393271 HGQ393271 HQM393271 IAI393271 IKE393271 IUA393271 JDW393271 JNS393271 JXO393271 KHK393271 KRG393271 LBC393271 LKY393271 LUU393271 MEQ393271 MOM393271 MYI393271 NIE393271 NSA393271 OBW393271 OLS393271 OVO393271 PFK393271 PPG393271 PZC393271 QIY393271 QSU393271 RCQ393271 RMM393271 RWI393271 SGE393271 SQA393271 SZW393271 TJS393271 TTO393271 UDK393271 UNG393271 UXC393271 VGY393271 VQU393271 WAQ393271 WKM393271 WUI393271 HW458807 RS458807 ABO458807 ALK458807 AVG458807 BFC458807 BOY458807 BYU458807 CIQ458807 CSM458807 DCI458807 DME458807 DWA458807 EFW458807 EPS458807 EZO458807 FJK458807 FTG458807 GDC458807 GMY458807 GWU458807 HGQ458807 HQM458807 IAI458807 IKE458807 IUA458807 JDW458807 JNS458807 JXO458807 KHK458807 KRG458807 LBC458807 LKY458807 LUU458807 MEQ458807 MOM458807 MYI458807 NIE458807 NSA458807 OBW458807 OLS458807 OVO458807 PFK458807 PPG458807 PZC458807 QIY458807 QSU458807 RCQ458807 RMM458807 RWI458807 SGE458807 SQA458807 SZW458807 TJS458807 TTO458807 UDK458807 UNG458807 UXC458807 VGY458807 VQU458807 WAQ458807 WKM458807 WUI458807 HW524343 RS524343 ABO524343 ALK524343 AVG524343 BFC524343 BOY524343 BYU524343 CIQ524343 CSM524343 DCI524343 DME524343 DWA524343 EFW524343 EPS524343 EZO524343 FJK524343 FTG524343 GDC524343 GMY524343 GWU524343 HGQ524343 HQM524343 IAI524343 IKE524343 IUA524343 JDW524343 JNS524343 JXO524343 KHK524343 KRG524343 LBC524343 LKY524343 LUU524343 MEQ524343 MOM524343 MYI524343 NIE524343 NSA524343 OBW524343 OLS524343 OVO524343 PFK524343 PPG524343 PZC524343 QIY524343 QSU524343 RCQ524343 RMM524343 RWI524343 SGE524343 SQA524343 SZW524343 TJS524343 TTO524343 UDK524343 UNG524343 UXC524343 VGY524343 VQU524343 WAQ524343 WKM524343 WUI524343 HW589879 RS589879 ABO589879 ALK589879 AVG589879 BFC589879 BOY589879 BYU589879 CIQ589879 CSM589879 DCI589879 DME589879 DWA589879 EFW589879 EPS589879 EZO589879 FJK589879 FTG589879 GDC589879 GMY589879 GWU589879 HGQ589879 HQM589879 IAI589879 IKE589879 IUA589879 JDW589879 JNS589879 JXO589879 KHK589879 KRG589879 LBC589879 LKY589879 LUU589879 MEQ589879 MOM589879 MYI589879 NIE589879 NSA589879 OBW589879 OLS589879 OVO589879 PFK589879 PPG589879 PZC589879 QIY589879 QSU589879 RCQ589879 RMM589879 RWI589879 SGE589879 SQA589879 SZW589879 TJS589879 TTO589879 UDK589879 UNG589879 UXC589879 VGY589879 VQU589879 WAQ589879 WKM589879 WUI589879 HW655415 RS655415 ABO655415 ALK655415 AVG655415 BFC655415 BOY655415 BYU655415 CIQ655415 CSM655415 DCI655415 DME655415 DWA655415 EFW655415 EPS655415 EZO655415 FJK655415 FTG655415 GDC655415 GMY655415 GWU655415 HGQ655415 HQM655415 IAI655415 IKE655415 IUA655415 JDW655415 JNS655415 JXO655415 KHK655415 KRG655415 LBC655415 LKY655415 LUU655415 MEQ655415 MOM655415 MYI655415 NIE655415 NSA655415 OBW655415 OLS655415 OVO655415 PFK655415 PPG655415 PZC655415 QIY655415 QSU655415 RCQ655415 RMM655415 RWI655415 SGE655415 SQA655415 SZW655415 TJS655415 TTO655415 UDK655415 UNG655415 UXC655415 VGY655415 VQU655415 WAQ655415 WKM655415 WUI655415 HW720951 RS720951 ABO720951 ALK720951 AVG720951 BFC720951 BOY720951 BYU720951 CIQ720951 CSM720951 DCI720951 DME720951 DWA720951 EFW720951 EPS720951 EZO720951 FJK720951 FTG720951 GDC720951 GMY720951 GWU720951 HGQ720951 HQM720951 IAI720951 IKE720951 IUA720951 JDW720951 JNS720951 JXO720951 KHK720951 KRG720951 LBC720951 LKY720951 LUU720951 MEQ720951 MOM720951 MYI720951 NIE720951 NSA720951 OBW720951 OLS720951 OVO720951 PFK720951 PPG720951 PZC720951 QIY720951 QSU720951 RCQ720951 RMM720951 RWI720951 SGE720951 SQA720951 SZW720951 TJS720951 TTO720951 UDK720951 UNG720951 UXC720951 VGY720951 VQU720951 WAQ720951 WKM720951 WUI720951 HW786487 RS786487 ABO786487 ALK786487 AVG786487 BFC786487 BOY786487 BYU786487 CIQ786487 CSM786487 DCI786487 DME786487 DWA786487 EFW786487 EPS786487 EZO786487 FJK786487 FTG786487 GDC786487 GMY786487 GWU786487 HGQ786487 HQM786487 IAI786487 IKE786487 IUA786487 JDW786487 JNS786487 JXO786487 KHK786487 KRG786487 LBC786487 LKY786487 LUU786487 MEQ786487 MOM786487 MYI786487 NIE786487 NSA786487 OBW786487 OLS786487 OVO786487 PFK786487 PPG786487 PZC786487 QIY786487 QSU786487 RCQ786487 RMM786487 RWI786487 SGE786487 SQA786487 SZW786487 TJS786487 TTO786487 UDK786487 UNG786487 UXC786487 VGY786487 VQU786487 WAQ786487 WKM786487 WUI786487 HW852023 RS852023 ABO852023 ALK852023 AVG852023 BFC852023 BOY852023 BYU852023 CIQ852023 CSM852023 DCI852023 DME852023 DWA852023 EFW852023 EPS852023 EZO852023 FJK852023 FTG852023 GDC852023 GMY852023 GWU852023 HGQ852023 HQM852023 IAI852023 IKE852023 IUA852023 JDW852023 JNS852023 JXO852023 KHK852023 KRG852023 LBC852023 LKY852023 LUU852023 MEQ852023 MOM852023 MYI852023 NIE852023 NSA852023 OBW852023 OLS852023 OVO852023 PFK852023 PPG852023 PZC852023 QIY852023 QSU852023 RCQ852023 RMM852023 RWI852023 SGE852023 SQA852023 SZW852023 TJS852023 TTO852023 UDK852023 UNG852023 UXC852023 VGY852023 VQU852023 WAQ852023 WKM852023 WUI852023 HW917559 RS917559 ABO917559 ALK917559 AVG917559 BFC917559 BOY917559 BYU917559 CIQ917559 CSM917559 DCI917559 DME917559 DWA917559 EFW917559 EPS917559 EZO917559 FJK917559 FTG917559 GDC917559 GMY917559 GWU917559 HGQ917559 HQM917559 IAI917559 IKE917559 IUA917559 JDW917559 JNS917559 JXO917559 KHK917559 KRG917559 LBC917559 LKY917559 LUU917559 MEQ917559 MOM917559 MYI917559 NIE917559 NSA917559 OBW917559 OLS917559 OVO917559 PFK917559 PPG917559 PZC917559 QIY917559 QSU917559 RCQ917559 RMM917559 RWI917559 SGE917559 SQA917559 SZW917559 TJS917559 TTO917559 UDK917559 UNG917559 UXC917559 VGY917559 VQU917559 WAQ917559 WKM917559 WUI917559 HW983095 RS983095 ABO983095 ALK983095 AVG983095 BFC983095 BOY983095 BYU983095 CIQ983095 CSM983095 DCI983095 DME983095 DWA983095 EFW983095 EPS983095 EZO983095 FJK983095 FTG983095 GDC983095 GMY983095 GWU983095 HGQ983095 HQM983095 IAI983095 IKE983095 IUA983095 JDW983095 JNS983095 JXO983095 KHK983095 KRG983095 LBC983095 LKY983095 LUU983095 MEQ983095 MOM983095 MYI983095 NIE983095 NSA983095 OBW983095 OLS983095 OVO983095 PFK983095 PPG983095 PZC983095 QIY983095 QSU983095 RCQ983095 RMM983095 RWI983095 SGE983095 SQA983095 SZW983095 TJS983095 TTO983095 UDK983095 UNG983095 UXC983095 VGY983095 VQU983095 WAQ983095 WKM983095 WUI983095 HY42 RU42 ABQ42 ALM42 AVI42 BFE42 BPA42 BYW42 CIS42 CSO42 DCK42 DMG42 DWC42 EFY42 EPU42 EZQ42 FJM42 FTI42 GDE42 GNA42 GWW42 HGS42 HQO42 IAK42 IKG42 IUC42 JDY42 JNU42 JXQ42 KHM42 KRI42 LBE42 LLA42 LUW42 MES42 MOO42 MYK42 NIG42 NSC42 OBY42 OLU42 OVQ42 PFM42 PPI42 PZE42 QJA42 QSW42 RCS42 RMO42 RWK42 SGG42 SQC42 SZY42 TJU42 TTQ42 UDM42 UNI42 UXE42 VHA42 VQW42 WAS42 WKO42 WUK42 HY65591 RU65591 ABQ65591 ALM65591 AVI65591 BFE65591 BPA65591 BYW65591 CIS65591 CSO65591 DCK65591 DMG65591 DWC65591 EFY65591 EPU65591 EZQ65591 FJM65591 FTI65591 GDE65591 GNA65591 GWW65591 HGS65591 HQO65591 IAK65591 IKG65591 IUC65591 JDY65591 JNU65591 JXQ65591 KHM65591 KRI65591 LBE65591 LLA65591 LUW65591 MES65591 MOO65591 MYK65591 NIG65591 NSC65591 OBY65591 OLU65591 OVQ65591 PFM65591 PPI65591 PZE65591 QJA65591 QSW65591 RCS65591 RMO65591 RWK65591 SGG65591 SQC65591 SZY65591 TJU65591 TTQ65591 UDM65591 UNI65591 UXE65591 VHA65591 VQW65591 WAS65591 WKO65591 WUK65591 HY131127 RU131127 ABQ131127 ALM131127 AVI131127 BFE131127 BPA131127 BYW131127 CIS131127 CSO131127 DCK131127 DMG131127 DWC131127 EFY131127 EPU131127 EZQ131127 FJM131127 FTI131127 GDE131127 GNA131127 GWW131127 HGS131127 HQO131127 IAK131127 IKG131127 IUC131127 JDY131127 JNU131127 JXQ131127 KHM131127 KRI131127 LBE131127 LLA131127 LUW131127 MES131127 MOO131127 MYK131127 NIG131127 NSC131127 OBY131127 OLU131127 OVQ131127 PFM131127 PPI131127 PZE131127 QJA131127 QSW131127 RCS131127 RMO131127 RWK131127 SGG131127 SQC131127 SZY131127 TJU131127 TTQ131127 UDM131127 UNI131127 UXE131127 VHA131127 VQW131127 WAS131127 WKO131127 WUK131127 HY196663 RU196663 ABQ196663 ALM196663 AVI196663 BFE196663 BPA196663 BYW196663 CIS196663 CSO196663 DCK196663 DMG196663 DWC196663 EFY196663 EPU196663 EZQ196663 FJM196663 FTI196663 GDE196663 GNA196663 GWW196663 HGS196663 HQO196663 IAK196663 IKG196663 IUC196663 JDY196663 JNU196663 JXQ196663 KHM196663 KRI196663 LBE196663 LLA196663 LUW196663 MES196663 MOO196663 MYK196663 NIG196663 NSC196663 OBY196663 OLU196663 OVQ196663 PFM196663 PPI196663 PZE196663 QJA196663 QSW196663 RCS196663 RMO196663 RWK196663 SGG196663 SQC196663 SZY196663 TJU196663 TTQ196663 UDM196663 UNI196663 UXE196663 VHA196663 VQW196663 WAS196663 WKO196663 WUK196663 HY262199 RU262199 ABQ262199 ALM262199 AVI262199 BFE262199 BPA262199 BYW262199 CIS262199 CSO262199 DCK262199 DMG262199 DWC262199 EFY262199 EPU262199 EZQ262199 FJM262199 FTI262199 GDE262199 GNA262199 GWW262199 HGS262199 HQO262199 IAK262199 IKG262199 IUC262199 JDY262199 JNU262199 JXQ262199 KHM262199 KRI262199 LBE262199 LLA262199 LUW262199 MES262199 MOO262199 MYK262199 NIG262199 NSC262199 OBY262199 OLU262199 OVQ262199 PFM262199 PPI262199 PZE262199 QJA262199 QSW262199 RCS262199 RMO262199 RWK262199 SGG262199 SQC262199 SZY262199 TJU262199 TTQ262199 UDM262199 UNI262199 UXE262199 VHA262199 VQW262199 WAS262199 WKO262199 WUK262199 HY327735 RU327735 ABQ327735 ALM327735 AVI327735 BFE327735 BPA327735 BYW327735 CIS327735 CSO327735 DCK327735 DMG327735 DWC327735 EFY327735 EPU327735 EZQ327735 FJM327735 FTI327735 GDE327735 GNA327735 GWW327735 HGS327735 HQO327735 IAK327735 IKG327735 IUC327735 JDY327735 JNU327735 JXQ327735 KHM327735 KRI327735 LBE327735 LLA327735 LUW327735 MES327735 MOO327735 MYK327735 NIG327735 NSC327735 OBY327735 OLU327735 OVQ327735 PFM327735 PPI327735 PZE327735 QJA327735 QSW327735 RCS327735 RMO327735 RWK327735 SGG327735 SQC327735 SZY327735 TJU327735 TTQ327735 UDM327735 UNI327735 UXE327735 VHA327735 VQW327735 WAS327735 WKO327735 WUK327735 HY393271 RU393271 ABQ393271 ALM393271 AVI393271 BFE393271 BPA393271 BYW393271 CIS393271 CSO393271 DCK393271 DMG393271 DWC393271 EFY393271 EPU393271 EZQ393271 FJM393271 FTI393271 GDE393271 GNA393271 GWW393271 HGS393271 HQO393271 IAK393271 IKG393271 IUC393271 JDY393271 JNU393271 JXQ393271 KHM393271 KRI393271 LBE393271 LLA393271 LUW393271 MES393271 MOO393271 MYK393271 NIG393271 NSC393271 OBY393271 OLU393271 OVQ393271 PFM393271 PPI393271 PZE393271 QJA393271 QSW393271 RCS393271 RMO393271 RWK393271 SGG393271 SQC393271 SZY393271 TJU393271 TTQ393271 UDM393271 UNI393271 UXE393271 VHA393271 VQW393271 WAS393271 WKO393271 WUK393271 HY458807 RU458807 ABQ458807 ALM458807 AVI458807 BFE458807 BPA458807 BYW458807 CIS458807 CSO458807 DCK458807 DMG458807 DWC458807 EFY458807 EPU458807 EZQ458807 FJM458807 FTI458807 GDE458807 GNA458807 GWW458807 HGS458807 HQO458807 IAK458807 IKG458807 IUC458807 JDY458807 JNU458807 JXQ458807 KHM458807 KRI458807 LBE458807 LLA458807 LUW458807 MES458807 MOO458807 MYK458807 NIG458807 NSC458807 OBY458807 OLU458807 OVQ458807 PFM458807 PPI458807 PZE458807 QJA458807 QSW458807 RCS458807 RMO458807 RWK458807 SGG458807 SQC458807 SZY458807 TJU458807 TTQ458807 UDM458807 UNI458807 UXE458807 VHA458807 VQW458807 WAS458807 WKO458807 WUK458807 HY524343 RU524343 ABQ524343 ALM524343 AVI524343 BFE524343 BPA524343 BYW524343 CIS524343 CSO524343 DCK524343 DMG524343 DWC524343 EFY524343 EPU524343 EZQ524343 FJM524343 FTI524343 GDE524343 GNA524343 GWW524343 HGS524343 HQO524343 IAK524343 IKG524343 IUC524343 JDY524343 JNU524343 JXQ524343 KHM524343 KRI524343 LBE524343 LLA524343 LUW524343 MES524343 MOO524343 MYK524343 NIG524343 NSC524343 OBY524343 OLU524343 OVQ524343 PFM524343 PPI524343 PZE524343 QJA524343 QSW524343 RCS524343 RMO524343 RWK524343 SGG524343 SQC524343 SZY524343 TJU524343 TTQ524343 UDM524343 UNI524343 UXE524343 VHA524343 VQW524343 WAS524343 WKO524343 WUK524343 HY589879 RU589879 ABQ589879 ALM589879 AVI589879 BFE589879 BPA589879 BYW589879 CIS589879 CSO589879 DCK589879 DMG589879 DWC589879 EFY589879 EPU589879 EZQ589879 FJM589879 FTI589879 GDE589879 GNA589879 GWW589879 HGS589879 HQO589879 IAK589879 IKG589879 IUC589879 JDY589879 JNU589879 JXQ589879 KHM589879 KRI589879 LBE589879 LLA589879 LUW589879 MES589879 MOO589879 MYK589879 NIG589879 NSC589879 OBY589879 OLU589879 OVQ589879 PFM589879 PPI589879 PZE589879 QJA589879 QSW589879 RCS589879 RMO589879 RWK589879 SGG589879 SQC589879 SZY589879 TJU589879 TTQ589879 UDM589879 UNI589879 UXE589879 VHA589879 VQW589879 WAS589879 WKO589879 WUK589879 HY655415 RU655415 ABQ655415 ALM655415 AVI655415 BFE655415 BPA655415 BYW655415 CIS655415 CSO655415 DCK655415 DMG655415 DWC655415 EFY655415 EPU655415 EZQ655415 FJM655415 FTI655415 GDE655415 GNA655415 GWW655415 HGS655415 HQO655415 IAK655415 IKG655415 IUC655415 JDY655415 JNU655415 JXQ655415 KHM655415 KRI655415 LBE655415 LLA655415 LUW655415 MES655415 MOO655415 MYK655415 NIG655415 NSC655415 OBY655415 OLU655415 OVQ655415 PFM655415 PPI655415 PZE655415 QJA655415 QSW655415 RCS655415 RMO655415 RWK655415 SGG655415 SQC655415 SZY655415 TJU655415 TTQ655415 UDM655415 UNI655415 UXE655415 VHA655415 VQW655415 WAS655415 WKO655415 WUK655415 HY720951 RU720951 ABQ720951 ALM720951 AVI720951 BFE720951 BPA720951 BYW720951 CIS720951 CSO720951 DCK720951 DMG720951 DWC720951 EFY720951 EPU720951 EZQ720951 FJM720951 FTI720951 GDE720951 GNA720951 GWW720951 HGS720951 HQO720951 IAK720951 IKG720951 IUC720951 JDY720951 JNU720951 JXQ720951 KHM720951 KRI720951 LBE720951 LLA720951 LUW720951 MES720951 MOO720951 MYK720951 NIG720951 NSC720951 OBY720951 OLU720951 OVQ720951 PFM720951 PPI720951 PZE720951 QJA720951 QSW720951 RCS720951 RMO720951 RWK720951 SGG720951 SQC720951 SZY720951 TJU720951 TTQ720951 UDM720951 UNI720951 UXE720951 VHA720951 VQW720951 WAS720951 WKO720951 WUK720951 HY786487 RU786487 ABQ786487 ALM786487 AVI786487 BFE786487 BPA786487 BYW786487 CIS786487 CSO786487 DCK786487 DMG786487 DWC786487 EFY786487 EPU786487 EZQ786487 FJM786487 FTI786487 GDE786487 GNA786487 GWW786487 HGS786487 HQO786487 IAK786487 IKG786487 IUC786487 JDY786487 JNU786487 JXQ786487 KHM786487 KRI786487 LBE786487 LLA786487 LUW786487 MES786487 MOO786487 MYK786487 NIG786487 NSC786487 OBY786487 OLU786487 OVQ786487 PFM786487 PPI786487 PZE786487 QJA786487 QSW786487 RCS786487 RMO786487 RWK786487 SGG786487 SQC786487 SZY786487 TJU786487 TTQ786487 UDM786487 UNI786487 UXE786487 VHA786487 VQW786487 WAS786487 WKO786487 WUK786487 HY852023 RU852023 ABQ852023 ALM852023 AVI852023 BFE852023 BPA852023 BYW852023 CIS852023 CSO852023 DCK852023 DMG852023 DWC852023 EFY852023 EPU852023 EZQ852023 FJM852023 FTI852023 GDE852023 GNA852023 GWW852023 HGS852023 HQO852023 IAK852023 IKG852023 IUC852023 JDY852023 JNU852023 JXQ852023 KHM852023 KRI852023 LBE852023 LLA852023 LUW852023 MES852023 MOO852023 MYK852023 NIG852023 NSC852023 OBY852023 OLU852023 OVQ852023 PFM852023 PPI852023 PZE852023 QJA852023 QSW852023 RCS852023 RMO852023 RWK852023 SGG852023 SQC852023 SZY852023 TJU852023 TTQ852023 UDM852023 UNI852023 UXE852023 VHA852023 VQW852023 WAS852023 WKO852023 WUK852023 HY917559 RU917559 ABQ917559 ALM917559 AVI917559 BFE917559 BPA917559 BYW917559 CIS917559 CSO917559 DCK917559 DMG917559 DWC917559 EFY917559 EPU917559 EZQ917559 FJM917559 FTI917559 GDE917559 GNA917559 GWW917559 HGS917559 HQO917559 IAK917559 IKG917559 IUC917559 JDY917559 JNU917559 JXQ917559 KHM917559 KRI917559 LBE917559 LLA917559 LUW917559 MES917559 MOO917559 MYK917559 NIG917559 NSC917559 OBY917559 OLU917559 OVQ917559 PFM917559 PPI917559 PZE917559 QJA917559 QSW917559 RCS917559 RMO917559 RWK917559 SGG917559 SQC917559 SZY917559 TJU917559 TTQ917559 UDM917559 UNI917559 UXE917559 VHA917559 VQW917559 WAS917559 WKO917559 WUK917559 HY983095 RU983095 ABQ983095 ALM983095 AVI983095 BFE983095 BPA983095 BYW983095 CIS983095 CSO983095 DCK983095 DMG983095 DWC983095 EFY983095 EPU983095 EZQ983095 FJM983095 FTI983095 GDE983095 GNA983095 GWW983095 HGS983095 HQO983095 IAK983095 IKG983095 IUC983095 JDY983095 JNU983095 JXQ983095 KHM983095 KRI983095 LBE983095 LLA983095 LUW983095 MES983095 MOO983095 MYK983095 NIG983095 NSC983095 OBY983095 OLU983095 OVQ983095 PFM983095 PPI983095 PZE983095 QJA983095 QSW983095 RCS983095 RMO983095 RWK983095 SGG983095 SQC983095 SZY983095 TJU983095 TTQ983095 UDM983095 UNI983095 UXE983095 VHA983095 VQW983095 WAS983095 WKO983095 WUK983095 IA42 RW42 ABS42 ALO42 AVK42 BFG42 BPC42 BYY42 CIU42 CSQ42 DCM42 DMI42 DWE42 EGA42 EPW42 EZS42 FJO42 FTK42 GDG42 GNC42 GWY42 HGU42 HQQ42 IAM42 IKI42 IUE42 JEA42 JNW42 JXS42 KHO42 KRK42 LBG42 LLC42 LUY42 MEU42 MOQ42 MYM42 NII42 NSE42 OCA42 OLW42 OVS42 PFO42 PPK42 PZG42 QJC42 QSY42 RCU42 RMQ42 RWM42 SGI42 SQE42 TAA42 TJW42 TTS42 UDO42 UNK42 UXG42 VHC42 VQY42 WAU42 WKQ42 WUM42 IA65591 RW65591 ABS65591 ALO65591 AVK65591 BFG65591 BPC65591 BYY65591 CIU65591 CSQ65591 DCM65591 DMI65591 DWE65591 EGA65591 EPW65591 EZS65591 FJO65591 FTK65591 GDG65591 GNC65591 GWY65591 HGU65591 HQQ65591 IAM65591 IKI65591 IUE65591 JEA65591 JNW65591 JXS65591 KHO65591 KRK65591 LBG65591 LLC65591 LUY65591 MEU65591 MOQ65591 MYM65591 NII65591 NSE65591 OCA65591 OLW65591 OVS65591 PFO65591 PPK65591 PZG65591 QJC65591 QSY65591 RCU65591 RMQ65591 RWM65591 SGI65591 SQE65591 TAA65591 TJW65591 TTS65591 UDO65591 UNK65591 UXG65591 VHC65591 VQY65591 WAU65591 WKQ65591 WUM65591 IA131127 RW131127 ABS131127 ALO131127 AVK131127 BFG131127 BPC131127 BYY131127 CIU131127 CSQ131127 DCM131127 DMI131127 DWE131127 EGA131127 EPW131127 EZS131127 FJO131127 FTK131127 GDG131127 GNC131127 GWY131127 HGU131127 HQQ131127 IAM131127 IKI131127 IUE131127 JEA131127 JNW131127 JXS131127 KHO131127 KRK131127 LBG131127 LLC131127 LUY131127 MEU131127 MOQ131127 MYM131127 NII131127 NSE131127 OCA131127 OLW131127 OVS131127 PFO131127 PPK131127 PZG131127 QJC131127 QSY131127 RCU131127 RMQ131127 RWM131127 SGI131127 SQE131127 TAA131127 TJW131127 TTS131127 UDO131127 UNK131127 UXG131127 VHC131127 VQY131127 WAU131127 WKQ131127 WUM131127 IA196663 RW196663 ABS196663 ALO196663 AVK196663 BFG196663 BPC196663 BYY196663 CIU196663 CSQ196663 DCM196663 DMI196663 DWE196663 EGA196663 EPW196663 EZS196663 FJO196663 FTK196663 GDG196663 GNC196663 GWY196663 HGU196663 HQQ196663 IAM196663 IKI196663 IUE196663 JEA196663 JNW196663 JXS196663 KHO196663 KRK196663 LBG196663 LLC196663 LUY196663 MEU196663 MOQ196663 MYM196663 NII196663 NSE196663 OCA196663 OLW196663 OVS196663 PFO196663 PPK196663 PZG196663 QJC196663 QSY196663 RCU196663 RMQ196663 RWM196663 SGI196663 SQE196663 TAA196663 TJW196663 TTS196663 UDO196663 UNK196663 UXG196663 VHC196663 VQY196663 WAU196663 WKQ196663 WUM196663 IA262199 RW262199 ABS262199 ALO262199 AVK262199 BFG262199 BPC262199 BYY262199 CIU262199 CSQ262199 DCM262199 DMI262199 DWE262199 EGA262199 EPW262199 EZS262199 FJO262199 FTK262199 GDG262199 GNC262199 GWY262199 HGU262199 HQQ262199 IAM262199 IKI262199 IUE262199 JEA262199 JNW262199 JXS262199 KHO262199 KRK262199 LBG262199 LLC262199 LUY262199 MEU262199 MOQ262199 MYM262199 NII262199 NSE262199 OCA262199 OLW262199 OVS262199 PFO262199 PPK262199 PZG262199 QJC262199 QSY262199 RCU262199 RMQ262199 RWM262199 SGI262199 SQE262199 TAA262199 TJW262199 TTS262199 UDO262199 UNK262199 UXG262199 VHC262199 VQY262199 WAU262199 WKQ262199 WUM262199 IA327735 RW327735 ABS327735 ALO327735 AVK327735 BFG327735 BPC327735 BYY327735 CIU327735 CSQ327735 DCM327735 DMI327735 DWE327735 EGA327735 EPW327735 EZS327735 FJO327735 FTK327735 GDG327735 GNC327735 GWY327735 HGU327735 HQQ327735 IAM327735 IKI327735 IUE327735 JEA327735 JNW327735 JXS327735 KHO327735 KRK327735 LBG327735 LLC327735 LUY327735 MEU327735 MOQ327735 MYM327735 NII327735 NSE327735 OCA327735 OLW327735 OVS327735 PFO327735 PPK327735 PZG327735 QJC327735 QSY327735 RCU327735 RMQ327735 RWM327735 SGI327735 SQE327735 TAA327735 TJW327735 TTS327735 UDO327735 UNK327735 UXG327735 VHC327735 VQY327735 WAU327735 WKQ327735 WUM327735 IA393271 RW393271 ABS393271 ALO393271 AVK393271 BFG393271 BPC393271 BYY393271 CIU393271 CSQ393271 DCM393271 DMI393271 DWE393271 EGA393271 EPW393271 EZS393271 FJO393271 FTK393271 GDG393271 GNC393271 GWY393271 HGU393271 HQQ393271 IAM393271 IKI393271 IUE393271 JEA393271 JNW393271 JXS393271 KHO393271 KRK393271 LBG393271 LLC393271 LUY393271 MEU393271 MOQ393271 MYM393271 NII393271 NSE393271 OCA393271 OLW393271 OVS393271 PFO393271 PPK393271 PZG393271 QJC393271 QSY393271 RCU393271 RMQ393271 RWM393271 SGI393271 SQE393271 TAA393271 TJW393271 TTS393271 UDO393271 UNK393271 UXG393271 VHC393271 VQY393271 WAU393271 WKQ393271 WUM393271 IA458807 RW458807 ABS458807 ALO458807 AVK458807 BFG458807 BPC458807 BYY458807 CIU458807 CSQ458807 DCM458807 DMI458807 DWE458807 EGA458807 EPW458807 EZS458807 FJO458807 FTK458807 GDG458807 GNC458807 GWY458807 HGU458807 HQQ458807 IAM458807 IKI458807 IUE458807 JEA458807 JNW458807 JXS458807 KHO458807 KRK458807 LBG458807 LLC458807 LUY458807 MEU458807 MOQ458807 MYM458807 NII458807 NSE458807 OCA458807 OLW458807 OVS458807 PFO458807 PPK458807 PZG458807 QJC458807 QSY458807 RCU458807 RMQ458807 RWM458807 SGI458807 SQE458807 TAA458807 TJW458807 TTS458807 UDO458807 UNK458807 UXG458807 VHC458807 VQY458807 WAU458807 WKQ458807 WUM458807 IA524343 RW524343 ABS524343 ALO524343 AVK524343 BFG524343 BPC524343 BYY524343 CIU524343 CSQ524343 DCM524343 DMI524343 DWE524343 EGA524343 EPW524343 EZS524343 FJO524343 FTK524343 GDG524343 GNC524343 GWY524343 HGU524343 HQQ524343 IAM524343 IKI524343 IUE524343 JEA524343 JNW524343 JXS524343 KHO524343 KRK524343 LBG524343 LLC524343 LUY524343 MEU524343 MOQ524343 MYM524343 NII524343 NSE524343 OCA524343 OLW524343 OVS524343 PFO524343 PPK524343 PZG524343 QJC524343 QSY524343 RCU524343 RMQ524343 RWM524343 SGI524343 SQE524343 TAA524343 TJW524343 TTS524343 UDO524343 UNK524343 UXG524343 VHC524343 VQY524343 WAU524343 WKQ524343 WUM524343 IA589879 RW589879 ABS589879 ALO589879 AVK589879 BFG589879 BPC589879 BYY589879 CIU589879 CSQ589879 DCM589879 DMI589879 DWE589879 EGA589879 EPW589879 EZS589879 FJO589879 FTK589879 GDG589879 GNC589879 GWY589879 HGU589879 HQQ589879 IAM589879 IKI589879 IUE589879 JEA589879 JNW589879 JXS589879 KHO589879 KRK589879 LBG589879 LLC589879 LUY589879 MEU589879 MOQ589879 MYM589879 NII589879 NSE589879 OCA589879 OLW589879 OVS589879 PFO589879 PPK589879 PZG589879 QJC589879 QSY589879 RCU589879 RMQ589879 RWM589879 SGI589879 SQE589879 TAA589879 TJW589879 TTS589879 UDO589879 UNK589879 UXG589879 VHC589879 VQY589879 WAU589879 WKQ589879 WUM589879 IA655415 RW655415 ABS655415 ALO655415 AVK655415 BFG655415 BPC655415 BYY655415 CIU655415 CSQ655415 DCM655415 DMI655415 DWE655415 EGA655415 EPW655415 EZS655415 FJO655415 FTK655415 GDG655415 GNC655415 GWY655415 HGU655415 HQQ655415 IAM655415 IKI655415 IUE655415 JEA655415 JNW655415 JXS655415 KHO655415 KRK655415 LBG655415 LLC655415 LUY655415 MEU655415 MOQ655415 MYM655415 NII655415 NSE655415 OCA655415 OLW655415 OVS655415 PFO655415 PPK655415 PZG655415 QJC655415 QSY655415 RCU655415 RMQ655415 RWM655415 SGI655415 SQE655415 TAA655415 TJW655415 TTS655415 UDO655415 UNK655415 UXG655415 VHC655415 VQY655415 WAU655415 WKQ655415 WUM655415 IA720951 RW720951 ABS720951 ALO720951 AVK720951 BFG720951 BPC720951 BYY720951 CIU720951 CSQ720951 DCM720951 DMI720951 DWE720951 EGA720951 EPW720951 EZS720951 FJO720951 FTK720951 GDG720951 GNC720951 GWY720951 HGU720951 HQQ720951 IAM720951 IKI720951 IUE720951 JEA720951 JNW720951 JXS720951 KHO720951 KRK720951 LBG720951 LLC720951 LUY720951 MEU720951 MOQ720951 MYM720951 NII720951 NSE720951 OCA720951 OLW720951 OVS720951 PFO720951 PPK720951 PZG720951 QJC720951 QSY720951 RCU720951 RMQ720951 RWM720951 SGI720951 SQE720951 TAA720951 TJW720951 TTS720951 UDO720951 UNK720951 UXG720951 VHC720951 VQY720951 WAU720951 WKQ720951 WUM720951 IA786487 RW786487 ABS786487 ALO786487 AVK786487 BFG786487 BPC786487 BYY786487 CIU786487 CSQ786487 DCM786487 DMI786487 DWE786487 EGA786487 EPW786487 EZS786487 FJO786487 FTK786487 GDG786487 GNC786487 GWY786487 HGU786487 HQQ786487 IAM786487 IKI786487 IUE786487 JEA786487 JNW786487 JXS786487 KHO786487 KRK786487 LBG786487 LLC786487 LUY786487 MEU786487 MOQ786487 MYM786487 NII786487 NSE786487 OCA786487 OLW786487 OVS786487 PFO786487 PPK786487 PZG786487 QJC786487 QSY786487 RCU786487 RMQ786487 RWM786487 SGI786487 SQE786487 TAA786487 TJW786487 TTS786487 UDO786487 UNK786487 UXG786487 VHC786487 VQY786487 WAU786487 WKQ786487 WUM786487 IA852023 RW852023 ABS852023 ALO852023 AVK852023 BFG852023 BPC852023 BYY852023 CIU852023 CSQ852023 DCM852023 DMI852023 DWE852023 EGA852023 EPW852023 EZS852023 FJO852023 FTK852023 GDG852023 GNC852023 GWY852023 HGU852023 HQQ852023 IAM852023 IKI852023 IUE852023 JEA852023 JNW852023 JXS852023 KHO852023 KRK852023 LBG852023 LLC852023 LUY852023 MEU852023 MOQ852023 MYM852023 NII852023 NSE852023 OCA852023 OLW852023 OVS852023 PFO852023 PPK852023 PZG852023 QJC852023 QSY852023 RCU852023 RMQ852023 RWM852023 SGI852023 SQE852023 TAA852023 TJW852023 TTS852023 UDO852023 UNK852023 UXG852023 VHC852023 VQY852023 WAU852023 WKQ852023 WUM852023 IA917559 RW917559 ABS917559 ALO917559 AVK917559 BFG917559 BPC917559 BYY917559 CIU917559 CSQ917559 DCM917559 DMI917559 DWE917559 EGA917559 EPW917559 EZS917559 FJO917559 FTK917559 GDG917559 GNC917559 GWY917559 HGU917559 HQQ917559 IAM917559 IKI917559 IUE917559 JEA917559 JNW917559 JXS917559 KHO917559 KRK917559 LBG917559 LLC917559 LUY917559 MEU917559 MOQ917559 MYM917559 NII917559 NSE917559 OCA917559 OLW917559 OVS917559 PFO917559 PPK917559 PZG917559 QJC917559 QSY917559 RCU917559 RMQ917559 RWM917559 SGI917559 SQE917559 TAA917559 TJW917559 TTS917559 UDO917559 UNK917559 UXG917559 VHC917559 VQY917559 WAU917559 WKQ917559 WUM917559 IA983095 RW983095 ABS983095 ALO983095 AVK983095 BFG983095 BPC983095 BYY983095 CIU983095 CSQ983095 DCM983095 DMI983095 DWE983095 EGA983095 EPW983095 EZS983095 FJO983095 FTK983095 GDG983095 GNC983095 GWY983095 HGU983095 HQQ983095 IAM983095 IKI983095 IUE983095 JEA983095 JNW983095 JXS983095 KHO983095 KRK983095 LBG983095 LLC983095 LUY983095 MEU983095 MOQ983095 MYM983095 NII983095 NSE983095 OCA983095 OLW983095 OVS983095 PFO983095 PPK983095 PZG983095 QJC983095 QSY983095 RCU983095 RMQ983095 RWM983095 SGI983095 SQE983095 TAA983095 TJW983095 TTS983095 UDO983095 UNK983095 UXG983095 VHC983095 VQY983095 WAU983095 WKQ983095 WUM983095 IC42:IC43 RY42:RY43 ABU42:ABU43 ALQ42:ALQ43 AVM42:AVM43 BFI42:BFI43 BPE42:BPE43 BZA42:BZA43 CIW42:CIW43 CSS42:CSS43 DCO42:DCO43 DMK42:DMK43 DWG42:DWG43 EGC42:EGC43 EPY42:EPY43 EZU42:EZU43 FJQ42:FJQ43 FTM42:FTM43 GDI42:GDI43 GNE42:GNE43 GXA42:GXA43 HGW42:HGW43 HQS42:HQS43 IAO42:IAO43 IKK42:IKK43 IUG42:IUG43 JEC42:JEC43 JNY42:JNY43 JXU42:JXU43 KHQ42:KHQ43 KRM42:KRM43 LBI42:LBI43 LLE42:LLE43 LVA42:LVA43 MEW42:MEW43 MOS42:MOS43 MYO42:MYO43 NIK42:NIK43 NSG42:NSG43 OCC42:OCC43 OLY42:OLY43 OVU42:OVU43 PFQ42:PFQ43 PPM42:PPM43 PZI42:PZI43 QJE42:QJE43 QTA42:QTA43 RCW42:RCW43 RMS42:RMS43 RWO42:RWO43 SGK42:SGK43 SQG42:SQG43 TAC42:TAC43 TJY42:TJY43 TTU42:TTU43 UDQ42:UDQ43 UNM42:UNM43 UXI42:UXI43 VHE42:VHE43 VRA42:VRA43 WAW42:WAW43 WKS42:WKS43 WUO42:WUO43 IC65591:IC65592 RY65591:RY65592 ABU65591:ABU65592 ALQ65591:ALQ65592 AVM65591:AVM65592 BFI65591:BFI65592 BPE65591:BPE65592 BZA65591:BZA65592 CIW65591:CIW65592 CSS65591:CSS65592 DCO65591:DCO65592 DMK65591:DMK65592 DWG65591:DWG65592 EGC65591:EGC65592 EPY65591:EPY65592 EZU65591:EZU65592 FJQ65591:FJQ65592 FTM65591:FTM65592 GDI65591:GDI65592 GNE65591:GNE65592 GXA65591:GXA65592 HGW65591:HGW65592 HQS65591:HQS65592 IAO65591:IAO65592 IKK65591:IKK65592 IUG65591:IUG65592 JEC65591:JEC65592 JNY65591:JNY65592 JXU65591:JXU65592 KHQ65591:KHQ65592 KRM65591:KRM65592 LBI65591:LBI65592 LLE65591:LLE65592 LVA65591:LVA65592 MEW65591:MEW65592 MOS65591:MOS65592 MYO65591:MYO65592 NIK65591:NIK65592 NSG65591:NSG65592 OCC65591:OCC65592 OLY65591:OLY65592 OVU65591:OVU65592 PFQ65591:PFQ65592 PPM65591:PPM65592 PZI65591:PZI65592 QJE65591:QJE65592 QTA65591:QTA65592 RCW65591:RCW65592 RMS65591:RMS65592 RWO65591:RWO65592 SGK65591:SGK65592 SQG65591:SQG65592 TAC65591:TAC65592 TJY65591:TJY65592 TTU65591:TTU65592 UDQ65591:UDQ65592 UNM65591:UNM65592 UXI65591:UXI65592 VHE65591:VHE65592 VRA65591:VRA65592 WAW65591:WAW65592 WKS65591:WKS65592 WUO65591:WUO65592 IC131127:IC131128 RY131127:RY131128 ABU131127:ABU131128 ALQ131127:ALQ131128 AVM131127:AVM131128 BFI131127:BFI131128 BPE131127:BPE131128 BZA131127:BZA131128 CIW131127:CIW131128 CSS131127:CSS131128 DCO131127:DCO131128 DMK131127:DMK131128 DWG131127:DWG131128 EGC131127:EGC131128 EPY131127:EPY131128 EZU131127:EZU131128 FJQ131127:FJQ131128 FTM131127:FTM131128 GDI131127:GDI131128 GNE131127:GNE131128 GXA131127:GXA131128 HGW131127:HGW131128 HQS131127:HQS131128 IAO131127:IAO131128 IKK131127:IKK131128 IUG131127:IUG131128 JEC131127:JEC131128 JNY131127:JNY131128 JXU131127:JXU131128 KHQ131127:KHQ131128 KRM131127:KRM131128 LBI131127:LBI131128 LLE131127:LLE131128 LVA131127:LVA131128 MEW131127:MEW131128 MOS131127:MOS131128 MYO131127:MYO131128 NIK131127:NIK131128 NSG131127:NSG131128 OCC131127:OCC131128 OLY131127:OLY131128 OVU131127:OVU131128 PFQ131127:PFQ131128 PPM131127:PPM131128 PZI131127:PZI131128 QJE131127:QJE131128 QTA131127:QTA131128 RCW131127:RCW131128 RMS131127:RMS131128 RWO131127:RWO131128 SGK131127:SGK131128 SQG131127:SQG131128 TAC131127:TAC131128 TJY131127:TJY131128 TTU131127:TTU131128 UDQ131127:UDQ131128 UNM131127:UNM131128 UXI131127:UXI131128 VHE131127:VHE131128 VRA131127:VRA131128 WAW131127:WAW131128 WKS131127:WKS131128 WUO131127:WUO131128 IC196663:IC196664 RY196663:RY196664 ABU196663:ABU196664 ALQ196663:ALQ196664 AVM196663:AVM196664 BFI196663:BFI196664 BPE196663:BPE196664 BZA196663:BZA196664 CIW196663:CIW196664 CSS196663:CSS196664 DCO196663:DCO196664 DMK196663:DMK196664 DWG196663:DWG196664 EGC196663:EGC196664 EPY196663:EPY196664 EZU196663:EZU196664 FJQ196663:FJQ196664 FTM196663:FTM196664 GDI196663:GDI196664 GNE196663:GNE196664 GXA196663:GXA196664 HGW196663:HGW196664 HQS196663:HQS196664 IAO196663:IAO196664 IKK196663:IKK196664 IUG196663:IUG196664 JEC196663:JEC196664 JNY196663:JNY196664 JXU196663:JXU196664 KHQ196663:KHQ196664 KRM196663:KRM196664 LBI196663:LBI196664 LLE196663:LLE196664 LVA196663:LVA196664 MEW196663:MEW196664 MOS196663:MOS196664 MYO196663:MYO196664 NIK196663:NIK196664 NSG196663:NSG196664 OCC196663:OCC196664 OLY196663:OLY196664 OVU196663:OVU196664 PFQ196663:PFQ196664 PPM196663:PPM196664 PZI196663:PZI196664 QJE196663:QJE196664 QTA196663:QTA196664 RCW196663:RCW196664 RMS196663:RMS196664 RWO196663:RWO196664 SGK196663:SGK196664 SQG196663:SQG196664 TAC196663:TAC196664 TJY196663:TJY196664 TTU196663:TTU196664 UDQ196663:UDQ196664 UNM196663:UNM196664 UXI196663:UXI196664 VHE196663:VHE196664 VRA196663:VRA196664 WAW196663:WAW196664 WKS196663:WKS196664 WUO196663:WUO196664 IC262199:IC262200 RY262199:RY262200 ABU262199:ABU262200 ALQ262199:ALQ262200 AVM262199:AVM262200 BFI262199:BFI262200 BPE262199:BPE262200 BZA262199:BZA262200 CIW262199:CIW262200 CSS262199:CSS262200 DCO262199:DCO262200 DMK262199:DMK262200 DWG262199:DWG262200 EGC262199:EGC262200 EPY262199:EPY262200 EZU262199:EZU262200 FJQ262199:FJQ262200 FTM262199:FTM262200 GDI262199:GDI262200 GNE262199:GNE262200 GXA262199:GXA262200 HGW262199:HGW262200 HQS262199:HQS262200 IAO262199:IAO262200 IKK262199:IKK262200 IUG262199:IUG262200 JEC262199:JEC262200 JNY262199:JNY262200 JXU262199:JXU262200 KHQ262199:KHQ262200 KRM262199:KRM262200 LBI262199:LBI262200 LLE262199:LLE262200 LVA262199:LVA262200 MEW262199:MEW262200 MOS262199:MOS262200 MYO262199:MYO262200 NIK262199:NIK262200 NSG262199:NSG262200 OCC262199:OCC262200 OLY262199:OLY262200 OVU262199:OVU262200 PFQ262199:PFQ262200 PPM262199:PPM262200 PZI262199:PZI262200 QJE262199:QJE262200 QTA262199:QTA262200 RCW262199:RCW262200 RMS262199:RMS262200 RWO262199:RWO262200 SGK262199:SGK262200 SQG262199:SQG262200 TAC262199:TAC262200 TJY262199:TJY262200 TTU262199:TTU262200 UDQ262199:UDQ262200 UNM262199:UNM262200 UXI262199:UXI262200 VHE262199:VHE262200 VRA262199:VRA262200 WAW262199:WAW262200 WKS262199:WKS262200 WUO262199:WUO262200 IC327735:IC327736 RY327735:RY327736 ABU327735:ABU327736 ALQ327735:ALQ327736 AVM327735:AVM327736 BFI327735:BFI327736 BPE327735:BPE327736 BZA327735:BZA327736 CIW327735:CIW327736 CSS327735:CSS327736 DCO327735:DCO327736 DMK327735:DMK327736 DWG327735:DWG327736 EGC327735:EGC327736 EPY327735:EPY327736 EZU327735:EZU327736 FJQ327735:FJQ327736 FTM327735:FTM327736 GDI327735:GDI327736 GNE327735:GNE327736 GXA327735:GXA327736 HGW327735:HGW327736 HQS327735:HQS327736 IAO327735:IAO327736 IKK327735:IKK327736 IUG327735:IUG327736 JEC327735:JEC327736 JNY327735:JNY327736 JXU327735:JXU327736 KHQ327735:KHQ327736 KRM327735:KRM327736 LBI327735:LBI327736 LLE327735:LLE327736 LVA327735:LVA327736 MEW327735:MEW327736 MOS327735:MOS327736 MYO327735:MYO327736 NIK327735:NIK327736 NSG327735:NSG327736 OCC327735:OCC327736 OLY327735:OLY327736 OVU327735:OVU327736 PFQ327735:PFQ327736 PPM327735:PPM327736 PZI327735:PZI327736 QJE327735:QJE327736 QTA327735:QTA327736 RCW327735:RCW327736 RMS327735:RMS327736 RWO327735:RWO327736 SGK327735:SGK327736 SQG327735:SQG327736 TAC327735:TAC327736 TJY327735:TJY327736 TTU327735:TTU327736 UDQ327735:UDQ327736 UNM327735:UNM327736 UXI327735:UXI327736 VHE327735:VHE327736 VRA327735:VRA327736 WAW327735:WAW327736 WKS327735:WKS327736 WUO327735:WUO327736 IC393271:IC393272 RY393271:RY393272 ABU393271:ABU393272 ALQ393271:ALQ393272 AVM393271:AVM393272 BFI393271:BFI393272 BPE393271:BPE393272 BZA393271:BZA393272 CIW393271:CIW393272 CSS393271:CSS393272 DCO393271:DCO393272 DMK393271:DMK393272 DWG393271:DWG393272 EGC393271:EGC393272 EPY393271:EPY393272 EZU393271:EZU393272 FJQ393271:FJQ393272 FTM393271:FTM393272 GDI393271:GDI393272 GNE393271:GNE393272 GXA393271:GXA393272 HGW393271:HGW393272 HQS393271:HQS393272 IAO393271:IAO393272 IKK393271:IKK393272 IUG393271:IUG393272 JEC393271:JEC393272 JNY393271:JNY393272 JXU393271:JXU393272 KHQ393271:KHQ393272 KRM393271:KRM393272 LBI393271:LBI393272 LLE393271:LLE393272 LVA393271:LVA393272 MEW393271:MEW393272 MOS393271:MOS393272 MYO393271:MYO393272 NIK393271:NIK393272 NSG393271:NSG393272 OCC393271:OCC393272 OLY393271:OLY393272 OVU393271:OVU393272 PFQ393271:PFQ393272 PPM393271:PPM393272 PZI393271:PZI393272 QJE393271:QJE393272 QTA393271:QTA393272 RCW393271:RCW393272 RMS393271:RMS393272 RWO393271:RWO393272 SGK393271:SGK393272 SQG393271:SQG393272 TAC393271:TAC393272 TJY393271:TJY393272 TTU393271:TTU393272 UDQ393271:UDQ393272 UNM393271:UNM393272 UXI393271:UXI393272 VHE393271:VHE393272 VRA393271:VRA393272 WAW393271:WAW393272 WKS393271:WKS393272 WUO393271:WUO393272 IC458807:IC458808 RY458807:RY458808 ABU458807:ABU458808 ALQ458807:ALQ458808 AVM458807:AVM458808 BFI458807:BFI458808 BPE458807:BPE458808 BZA458807:BZA458808 CIW458807:CIW458808 CSS458807:CSS458808 DCO458807:DCO458808 DMK458807:DMK458808 DWG458807:DWG458808 EGC458807:EGC458808 EPY458807:EPY458808 EZU458807:EZU458808 FJQ458807:FJQ458808 FTM458807:FTM458808 GDI458807:GDI458808 GNE458807:GNE458808 GXA458807:GXA458808 HGW458807:HGW458808 HQS458807:HQS458808 IAO458807:IAO458808 IKK458807:IKK458808 IUG458807:IUG458808 JEC458807:JEC458808 JNY458807:JNY458808 JXU458807:JXU458808 KHQ458807:KHQ458808 KRM458807:KRM458808 LBI458807:LBI458808 LLE458807:LLE458808 LVA458807:LVA458808 MEW458807:MEW458808 MOS458807:MOS458808 MYO458807:MYO458808 NIK458807:NIK458808 NSG458807:NSG458808 OCC458807:OCC458808 OLY458807:OLY458808 OVU458807:OVU458808 PFQ458807:PFQ458808 PPM458807:PPM458808 PZI458807:PZI458808 QJE458807:QJE458808 QTA458807:QTA458808 RCW458807:RCW458808 RMS458807:RMS458808 RWO458807:RWO458808 SGK458807:SGK458808 SQG458807:SQG458808 TAC458807:TAC458808 TJY458807:TJY458808 TTU458807:TTU458808 UDQ458807:UDQ458808 UNM458807:UNM458808 UXI458807:UXI458808 VHE458807:VHE458808 VRA458807:VRA458808 WAW458807:WAW458808 WKS458807:WKS458808 WUO458807:WUO458808 IC524343:IC524344 RY524343:RY524344 ABU524343:ABU524344 ALQ524343:ALQ524344 AVM524343:AVM524344 BFI524343:BFI524344 BPE524343:BPE524344 BZA524343:BZA524344 CIW524343:CIW524344 CSS524343:CSS524344 DCO524343:DCO524344 DMK524343:DMK524344 DWG524343:DWG524344 EGC524343:EGC524344 EPY524343:EPY524344 EZU524343:EZU524344 FJQ524343:FJQ524344 FTM524343:FTM524344 GDI524343:GDI524344 GNE524343:GNE524344 GXA524343:GXA524344 HGW524343:HGW524344 HQS524343:HQS524344 IAO524343:IAO524344 IKK524343:IKK524344 IUG524343:IUG524344 JEC524343:JEC524344 JNY524343:JNY524344 JXU524343:JXU524344 KHQ524343:KHQ524344 KRM524343:KRM524344 LBI524343:LBI524344 LLE524343:LLE524344 LVA524343:LVA524344 MEW524343:MEW524344 MOS524343:MOS524344 MYO524343:MYO524344 NIK524343:NIK524344 NSG524343:NSG524344 OCC524343:OCC524344 OLY524343:OLY524344 OVU524343:OVU524344 PFQ524343:PFQ524344 PPM524343:PPM524344 PZI524343:PZI524344 QJE524343:QJE524344 QTA524343:QTA524344 RCW524343:RCW524344 RMS524343:RMS524344 RWO524343:RWO524344 SGK524343:SGK524344 SQG524343:SQG524344 TAC524343:TAC524344 TJY524343:TJY524344 TTU524343:TTU524344 UDQ524343:UDQ524344 UNM524343:UNM524344 UXI524343:UXI524344 VHE524343:VHE524344 VRA524343:VRA524344 WAW524343:WAW524344 WKS524343:WKS524344 WUO524343:WUO524344 IC589879:IC589880 RY589879:RY589880 ABU589879:ABU589880 ALQ589879:ALQ589880 AVM589879:AVM589880 BFI589879:BFI589880 BPE589879:BPE589880 BZA589879:BZA589880 CIW589879:CIW589880 CSS589879:CSS589880 DCO589879:DCO589880 DMK589879:DMK589880 DWG589879:DWG589880 EGC589879:EGC589880 EPY589879:EPY589880 EZU589879:EZU589880 FJQ589879:FJQ589880 FTM589879:FTM589880 GDI589879:GDI589880 GNE589879:GNE589880 GXA589879:GXA589880 HGW589879:HGW589880 HQS589879:HQS589880 IAO589879:IAO589880 IKK589879:IKK589880 IUG589879:IUG589880 JEC589879:JEC589880 JNY589879:JNY589880 JXU589879:JXU589880 KHQ589879:KHQ589880 KRM589879:KRM589880 LBI589879:LBI589880 LLE589879:LLE589880 LVA589879:LVA589880 MEW589879:MEW589880 MOS589879:MOS589880 MYO589879:MYO589880 NIK589879:NIK589880 NSG589879:NSG589880 OCC589879:OCC589880 OLY589879:OLY589880 OVU589879:OVU589880 PFQ589879:PFQ589880 PPM589879:PPM589880 PZI589879:PZI589880 QJE589879:QJE589880 QTA589879:QTA589880 RCW589879:RCW589880 RMS589879:RMS589880 RWO589879:RWO589880 SGK589879:SGK589880 SQG589879:SQG589880 TAC589879:TAC589880 TJY589879:TJY589880 TTU589879:TTU589880 UDQ589879:UDQ589880 UNM589879:UNM589880 UXI589879:UXI589880 VHE589879:VHE589880 VRA589879:VRA589880 WAW589879:WAW589880 WKS589879:WKS589880 WUO589879:WUO589880 IC655415:IC655416 RY655415:RY655416 ABU655415:ABU655416 ALQ655415:ALQ655416 AVM655415:AVM655416 BFI655415:BFI655416 BPE655415:BPE655416 BZA655415:BZA655416 CIW655415:CIW655416 CSS655415:CSS655416 DCO655415:DCO655416 DMK655415:DMK655416 DWG655415:DWG655416 EGC655415:EGC655416 EPY655415:EPY655416 EZU655415:EZU655416 FJQ655415:FJQ655416 FTM655415:FTM655416 GDI655415:GDI655416 GNE655415:GNE655416 GXA655415:GXA655416 HGW655415:HGW655416 HQS655415:HQS655416 IAO655415:IAO655416 IKK655415:IKK655416 IUG655415:IUG655416 JEC655415:JEC655416 JNY655415:JNY655416 JXU655415:JXU655416 KHQ655415:KHQ655416 KRM655415:KRM655416 LBI655415:LBI655416 LLE655415:LLE655416 LVA655415:LVA655416 MEW655415:MEW655416 MOS655415:MOS655416 MYO655415:MYO655416 NIK655415:NIK655416 NSG655415:NSG655416 OCC655415:OCC655416 OLY655415:OLY655416 OVU655415:OVU655416 PFQ655415:PFQ655416 PPM655415:PPM655416 PZI655415:PZI655416 QJE655415:QJE655416 QTA655415:QTA655416 RCW655415:RCW655416 RMS655415:RMS655416 RWO655415:RWO655416 SGK655415:SGK655416 SQG655415:SQG655416 TAC655415:TAC655416 TJY655415:TJY655416 TTU655415:TTU655416 UDQ655415:UDQ655416 UNM655415:UNM655416 UXI655415:UXI655416 VHE655415:VHE655416 VRA655415:VRA655416 WAW655415:WAW655416 WKS655415:WKS655416 WUO655415:WUO655416 IC720951:IC720952 RY720951:RY720952 ABU720951:ABU720952 ALQ720951:ALQ720952 AVM720951:AVM720952 BFI720951:BFI720952 BPE720951:BPE720952 BZA720951:BZA720952 CIW720951:CIW720952 CSS720951:CSS720952 DCO720951:DCO720952 DMK720951:DMK720952 DWG720951:DWG720952 EGC720951:EGC720952 EPY720951:EPY720952 EZU720951:EZU720952 FJQ720951:FJQ720952 FTM720951:FTM720952 GDI720951:GDI720952 GNE720951:GNE720952 GXA720951:GXA720952 HGW720951:HGW720952 HQS720951:HQS720952 IAO720951:IAO720952 IKK720951:IKK720952 IUG720951:IUG720952 JEC720951:JEC720952 JNY720951:JNY720952 JXU720951:JXU720952 KHQ720951:KHQ720952 KRM720951:KRM720952 LBI720951:LBI720952 LLE720951:LLE720952 LVA720951:LVA720952 MEW720951:MEW720952 MOS720951:MOS720952 MYO720951:MYO720952 NIK720951:NIK720952 NSG720951:NSG720952 OCC720951:OCC720952 OLY720951:OLY720952 OVU720951:OVU720952 PFQ720951:PFQ720952 PPM720951:PPM720952 PZI720951:PZI720952 QJE720951:QJE720952 QTA720951:QTA720952 RCW720951:RCW720952 RMS720951:RMS720952 RWO720951:RWO720952 SGK720951:SGK720952 SQG720951:SQG720952 TAC720951:TAC720952 TJY720951:TJY720952 TTU720951:TTU720952 UDQ720951:UDQ720952 UNM720951:UNM720952 UXI720951:UXI720952 VHE720951:VHE720952 VRA720951:VRA720952 WAW720951:WAW720952 WKS720951:WKS720952 WUO720951:WUO720952 IC786487:IC786488 RY786487:RY786488 ABU786487:ABU786488 ALQ786487:ALQ786488 AVM786487:AVM786488 BFI786487:BFI786488 BPE786487:BPE786488 BZA786487:BZA786488 CIW786487:CIW786488 CSS786487:CSS786488 DCO786487:DCO786488 DMK786487:DMK786488 DWG786487:DWG786488 EGC786487:EGC786488 EPY786487:EPY786488 EZU786487:EZU786488 FJQ786487:FJQ786488 FTM786487:FTM786488 GDI786487:GDI786488 GNE786487:GNE786488 GXA786487:GXA786488 HGW786487:HGW786488 HQS786487:HQS786488 IAO786487:IAO786488 IKK786487:IKK786488 IUG786487:IUG786488 JEC786487:JEC786488 JNY786487:JNY786488 JXU786487:JXU786488 KHQ786487:KHQ786488 KRM786487:KRM786488 LBI786487:LBI786488 LLE786487:LLE786488 LVA786487:LVA786488 MEW786487:MEW786488 MOS786487:MOS786488 MYO786487:MYO786488 NIK786487:NIK786488 NSG786487:NSG786488 OCC786487:OCC786488 OLY786487:OLY786488 OVU786487:OVU786488 PFQ786487:PFQ786488 PPM786487:PPM786488 PZI786487:PZI786488 QJE786487:QJE786488 QTA786487:QTA786488 RCW786487:RCW786488 RMS786487:RMS786488 RWO786487:RWO786488 SGK786487:SGK786488 SQG786487:SQG786488 TAC786487:TAC786488 TJY786487:TJY786488 TTU786487:TTU786488 UDQ786487:UDQ786488 UNM786487:UNM786488 UXI786487:UXI786488 VHE786487:VHE786488 VRA786487:VRA786488 WAW786487:WAW786488 WKS786487:WKS786488 WUO786487:WUO786488 IC852023:IC852024 RY852023:RY852024 ABU852023:ABU852024 ALQ852023:ALQ852024 AVM852023:AVM852024 BFI852023:BFI852024 BPE852023:BPE852024 BZA852023:BZA852024 CIW852023:CIW852024 CSS852023:CSS852024 DCO852023:DCO852024 DMK852023:DMK852024 DWG852023:DWG852024 EGC852023:EGC852024 EPY852023:EPY852024 EZU852023:EZU852024 FJQ852023:FJQ852024 FTM852023:FTM852024 GDI852023:GDI852024 GNE852023:GNE852024 GXA852023:GXA852024 HGW852023:HGW852024 HQS852023:HQS852024 IAO852023:IAO852024 IKK852023:IKK852024 IUG852023:IUG852024 JEC852023:JEC852024 JNY852023:JNY852024 JXU852023:JXU852024 KHQ852023:KHQ852024 KRM852023:KRM852024 LBI852023:LBI852024 LLE852023:LLE852024 LVA852023:LVA852024 MEW852023:MEW852024 MOS852023:MOS852024 MYO852023:MYO852024 NIK852023:NIK852024 NSG852023:NSG852024 OCC852023:OCC852024 OLY852023:OLY852024 OVU852023:OVU852024 PFQ852023:PFQ852024 PPM852023:PPM852024 PZI852023:PZI852024 QJE852023:QJE852024 QTA852023:QTA852024 RCW852023:RCW852024 RMS852023:RMS852024 RWO852023:RWO852024 SGK852023:SGK852024 SQG852023:SQG852024 TAC852023:TAC852024 TJY852023:TJY852024 TTU852023:TTU852024 UDQ852023:UDQ852024 UNM852023:UNM852024 UXI852023:UXI852024 VHE852023:VHE852024 VRA852023:VRA852024 WAW852023:WAW852024 WKS852023:WKS852024 WUO852023:WUO852024 IC917559:IC917560 RY917559:RY917560 ABU917559:ABU917560 ALQ917559:ALQ917560 AVM917559:AVM917560 BFI917559:BFI917560 BPE917559:BPE917560 BZA917559:BZA917560 CIW917559:CIW917560 CSS917559:CSS917560 DCO917559:DCO917560 DMK917559:DMK917560 DWG917559:DWG917560 EGC917559:EGC917560 EPY917559:EPY917560 EZU917559:EZU917560 FJQ917559:FJQ917560 FTM917559:FTM917560 GDI917559:GDI917560 GNE917559:GNE917560 GXA917559:GXA917560 HGW917559:HGW917560 HQS917559:HQS917560 IAO917559:IAO917560 IKK917559:IKK917560 IUG917559:IUG917560 JEC917559:JEC917560 JNY917559:JNY917560 JXU917559:JXU917560 KHQ917559:KHQ917560 KRM917559:KRM917560 LBI917559:LBI917560 LLE917559:LLE917560 LVA917559:LVA917560 MEW917559:MEW917560 MOS917559:MOS917560 MYO917559:MYO917560 NIK917559:NIK917560 NSG917559:NSG917560 OCC917559:OCC917560 OLY917559:OLY917560 OVU917559:OVU917560 PFQ917559:PFQ917560 PPM917559:PPM917560 PZI917559:PZI917560 QJE917559:QJE917560 QTA917559:QTA917560 RCW917559:RCW917560 RMS917559:RMS917560 RWO917559:RWO917560 SGK917559:SGK917560 SQG917559:SQG917560 TAC917559:TAC917560 TJY917559:TJY917560 TTU917559:TTU917560 UDQ917559:UDQ917560 UNM917559:UNM917560 UXI917559:UXI917560 VHE917559:VHE917560 VRA917559:VRA917560 WAW917559:WAW917560 WKS917559:WKS917560 WUO917559:WUO917560 IC983095:IC983096 RY983095:RY983096 ABU983095:ABU983096 ALQ983095:ALQ983096 AVM983095:AVM983096 BFI983095:BFI983096 BPE983095:BPE983096 BZA983095:BZA983096 CIW983095:CIW983096 CSS983095:CSS983096 DCO983095:DCO983096 DMK983095:DMK983096 DWG983095:DWG983096 EGC983095:EGC983096 EPY983095:EPY983096 EZU983095:EZU983096 FJQ983095:FJQ983096 FTM983095:FTM983096 GDI983095:GDI983096 GNE983095:GNE983096 GXA983095:GXA983096 HGW983095:HGW983096 HQS983095:HQS983096 IAO983095:IAO983096 IKK983095:IKK983096 IUG983095:IUG983096 JEC983095:JEC983096 JNY983095:JNY983096 JXU983095:JXU983096 KHQ983095:KHQ983096 KRM983095:KRM983096 LBI983095:LBI983096 LLE983095:LLE983096 LVA983095:LVA983096 MEW983095:MEW983096 MOS983095:MOS983096 MYO983095:MYO983096 NIK983095:NIK983096 NSG983095:NSG983096 OCC983095:OCC983096 OLY983095:OLY983096 OVU983095:OVU983096 PFQ983095:PFQ983096 PPM983095:PPM983096 PZI983095:PZI983096 QJE983095:QJE983096 QTA983095:QTA983096 RCW983095:RCW983096 RMS983095:RMS983096 RWO983095:RWO983096 SGK983095:SGK983096 SQG983095:SQG983096 TAC983095:TAC983096 TJY983095:TJY983096 TTU983095:TTU983096 UDQ983095:UDQ983096 UNM983095:UNM983096 UXI983095:UXI983096 VHE983095:VHE983096 VRA983095:VRA983096 WAW983095:WAW983096 WKS983095:WKS983096 WUO983095:WUO983096 IE42:IE43 SA42:SA43 ABW42:ABW43 ALS42:ALS43 AVO42:AVO43 BFK42:BFK43 BPG42:BPG43 BZC42:BZC43 CIY42:CIY43 CSU42:CSU43 DCQ42:DCQ43 DMM42:DMM43 DWI42:DWI43 EGE42:EGE43 EQA42:EQA43 EZW42:EZW43 FJS42:FJS43 FTO42:FTO43 GDK42:GDK43 GNG42:GNG43 GXC42:GXC43 HGY42:HGY43 HQU42:HQU43 IAQ42:IAQ43 IKM42:IKM43 IUI42:IUI43 JEE42:JEE43 JOA42:JOA43 JXW42:JXW43 KHS42:KHS43 KRO42:KRO43 LBK42:LBK43 LLG42:LLG43 LVC42:LVC43 MEY42:MEY43 MOU42:MOU43 MYQ42:MYQ43 NIM42:NIM43 NSI42:NSI43 OCE42:OCE43 OMA42:OMA43 OVW42:OVW43 PFS42:PFS43 PPO42:PPO43 PZK42:PZK43 QJG42:QJG43 QTC42:QTC43 RCY42:RCY43 RMU42:RMU43 RWQ42:RWQ43 SGM42:SGM43 SQI42:SQI43 TAE42:TAE43 TKA42:TKA43 TTW42:TTW43 UDS42:UDS43 UNO42:UNO43 UXK42:UXK43 VHG42:VHG43 VRC42:VRC43 WAY42:WAY43 WKU42:WKU43 WUQ42:WUQ43 IE65591:IE65592 SA65591:SA65592 ABW65591:ABW65592 ALS65591:ALS65592 AVO65591:AVO65592 BFK65591:BFK65592 BPG65591:BPG65592 BZC65591:BZC65592 CIY65591:CIY65592 CSU65591:CSU65592 DCQ65591:DCQ65592 DMM65591:DMM65592 DWI65591:DWI65592 EGE65591:EGE65592 EQA65591:EQA65592 EZW65591:EZW65592 FJS65591:FJS65592 FTO65591:FTO65592 GDK65591:GDK65592 GNG65591:GNG65592 GXC65591:GXC65592 HGY65591:HGY65592 HQU65591:HQU65592 IAQ65591:IAQ65592 IKM65591:IKM65592 IUI65591:IUI65592 JEE65591:JEE65592 JOA65591:JOA65592 JXW65591:JXW65592 KHS65591:KHS65592 KRO65591:KRO65592 LBK65591:LBK65592 LLG65591:LLG65592 LVC65591:LVC65592 MEY65591:MEY65592 MOU65591:MOU65592 MYQ65591:MYQ65592 NIM65591:NIM65592 NSI65591:NSI65592 OCE65591:OCE65592 OMA65591:OMA65592 OVW65591:OVW65592 PFS65591:PFS65592 PPO65591:PPO65592 PZK65591:PZK65592 QJG65591:QJG65592 QTC65591:QTC65592 RCY65591:RCY65592 RMU65591:RMU65592 RWQ65591:RWQ65592 SGM65591:SGM65592 SQI65591:SQI65592 TAE65591:TAE65592 TKA65591:TKA65592 TTW65591:TTW65592 UDS65591:UDS65592 UNO65591:UNO65592 UXK65591:UXK65592 VHG65591:VHG65592 VRC65591:VRC65592 WAY65591:WAY65592 WKU65591:WKU65592 WUQ65591:WUQ65592 IE131127:IE131128 SA131127:SA131128 ABW131127:ABW131128 ALS131127:ALS131128 AVO131127:AVO131128 BFK131127:BFK131128 BPG131127:BPG131128 BZC131127:BZC131128 CIY131127:CIY131128 CSU131127:CSU131128 DCQ131127:DCQ131128 DMM131127:DMM131128 DWI131127:DWI131128 EGE131127:EGE131128 EQA131127:EQA131128 EZW131127:EZW131128 FJS131127:FJS131128 FTO131127:FTO131128 GDK131127:GDK131128 GNG131127:GNG131128 GXC131127:GXC131128 HGY131127:HGY131128 HQU131127:HQU131128 IAQ131127:IAQ131128 IKM131127:IKM131128 IUI131127:IUI131128 JEE131127:JEE131128 JOA131127:JOA131128 JXW131127:JXW131128 KHS131127:KHS131128 KRO131127:KRO131128 LBK131127:LBK131128 LLG131127:LLG131128 LVC131127:LVC131128 MEY131127:MEY131128 MOU131127:MOU131128 MYQ131127:MYQ131128 NIM131127:NIM131128 NSI131127:NSI131128 OCE131127:OCE131128 OMA131127:OMA131128 OVW131127:OVW131128 PFS131127:PFS131128 PPO131127:PPO131128 PZK131127:PZK131128 QJG131127:QJG131128 QTC131127:QTC131128 RCY131127:RCY131128 RMU131127:RMU131128 RWQ131127:RWQ131128 SGM131127:SGM131128 SQI131127:SQI131128 TAE131127:TAE131128 TKA131127:TKA131128 TTW131127:TTW131128 UDS131127:UDS131128 UNO131127:UNO131128 UXK131127:UXK131128 VHG131127:VHG131128 VRC131127:VRC131128 WAY131127:WAY131128 WKU131127:WKU131128 WUQ131127:WUQ131128 IE196663:IE196664 SA196663:SA196664 ABW196663:ABW196664 ALS196663:ALS196664 AVO196663:AVO196664 BFK196663:BFK196664 BPG196663:BPG196664 BZC196663:BZC196664 CIY196663:CIY196664 CSU196663:CSU196664 DCQ196663:DCQ196664 DMM196663:DMM196664 DWI196663:DWI196664 EGE196663:EGE196664 EQA196663:EQA196664 EZW196663:EZW196664 FJS196663:FJS196664 FTO196663:FTO196664 GDK196663:GDK196664 GNG196663:GNG196664 GXC196663:GXC196664 HGY196663:HGY196664 HQU196663:HQU196664 IAQ196663:IAQ196664 IKM196663:IKM196664 IUI196663:IUI196664 JEE196663:JEE196664 JOA196663:JOA196664 JXW196663:JXW196664 KHS196663:KHS196664 KRO196663:KRO196664 LBK196663:LBK196664 LLG196663:LLG196664 LVC196663:LVC196664 MEY196663:MEY196664 MOU196663:MOU196664 MYQ196663:MYQ196664 NIM196663:NIM196664 NSI196663:NSI196664 OCE196663:OCE196664 OMA196663:OMA196664 OVW196663:OVW196664 PFS196663:PFS196664 PPO196663:PPO196664 PZK196663:PZK196664 QJG196663:QJG196664 QTC196663:QTC196664 RCY196663:RCY196664 RMU196663:RMU196664 RWQ196663:RWQ196664 SGM196663:SGM196664 SQI196663:SQI196664 TAE196663:TAE196664 TKA196663:TKA196664 TTW196663:TTW196664 UDS196663:UDS196664 UNO196663:UNO196664 UXK196663:UXK196664 VHG196663:VHG196664 VRC196663:VRC196664 WAY196663:WAY196664 WKU196663:WKU196664 WUQ196663:WUQ196664 IE262199:IE262200 SA262199:SA262200 ABW262199:ABW262200 ALS262199:ALS262200 AVO262199:AVO262200 BFK262199:BFK262200 BPG262199:BPG262200 BZC262199:BZC262200 CIY262199:CIY262200 CSU262199:CSU262200 DCQ262199:DCQ262200 DMM262199:DMM262200 DWI262199:DWI262200 EGE262199:EGE262200 EQA262199:EQA262200 EZW262199:EZW262200 FJS262199:FJS262200 FTO262199:FTO262200 GDK262199:GDK262200 GNG262199:GNG262200 GXC262199:GXC262200 HGY262199:HGY262200 HQU262199:HQU262200 IAQ262199:IAQ262200 IKM262199:IKM262200 IUI262199:IUI262200 JEE262199:JEE262200 JOA262199:JOA262200 JXW262199:JXW262200 KHS262199:KHS262200 KRO262199:KRO262200 LBK262199:LBK262200 LLG262199:LLG262200 LVC262199:LVC262200 MEY262199:MEY262200 MOU262199:MOU262200 MYQ262199:MYQ262200 NIM262199:NIM262200 NSI262199:NSI262200 OCE262199:OCE262200 OMA262199:OMA262200 OVW262199:OVW262200 PFS262199:PFS262200 PPO262199:PPO262200 PZK262199:PZK262200 QJG262199:QJG262200 QTC262199:QTC262200 RCY262199:RCY262200 RMU262199:RMU262200 RWQ262199:RWQ262200 SGM262199:SGM262200 SQI262199:SQI262200 TAE262199:TAE262200 TKA262199:TKA262200 TTW262199:TTW262200 UDS262199:UDS262200 UNO262199:UNO262200 UXK262199:UXK262200 VHG262199:VHG262200 VRC262199:VRC262200 WAY262199:WAY262200 WKU262199:WKU262200 WUQ262199:WUQ262200 IE327735:IE327736 SA327735:SA327736 ABW327735:ABW327736 ALS327735:ALS327736 AVO327735:AVO327736 BFK327735:BFK327736 BPG327735:BPG327736 BZC327735:BZC327736 CIY327735:CIY327736 CSU327735:CSU327736 DCQ327735:DCQ327736 DMM327735:DMM327736 DWI327735:DWI327736 EGE327735:EGE327736 EQA327735:EQA327736 EZW327735:EZW327736 FJS327735:FJS327736 FTO327735:FTO327736 GDK327735:GDK327736 GNG327735:GNG327736 GXC327735:GXC327736 HGY327735:HGY327736 HQU327735:HQU327736 IAQ327735:IAQ327736 IKM327735:IKM327736 IUI327735:IUI327736 JEE327735:JEE327736 JOA327735:JOA327736 JXW327735:JXW327736 KHS327735:KHS327736 KRO327735:KRO327736 LBK327735:LBK327736 LLG327735:LLG327736 LVC327735:LVC327736 MEY327735:MEY327736 MOU327735:MOU327736 MYQ327735:MYQ327736 NIM327735:NIM327736 NSI327735:NSI327736 OCE327735:OCE327736 OMA327735:OMA327736 OVW327735:OVW327736 PFS327735:PFS327736 PPO327735:PPO327736 PZK327735:PZK327736 QJG327735:QJG327736 QTC327735:QTC327736 RCY327735:RCY327736 RMU327735:RMU327736 RWQ327735:RWQ327736 SGM327735:SGM327736 SQI327735:SQI327736 TAE327735:TAE327736 TKA327735:TKA327736 TTW327735:TTW327736 UDS327735:UDS327736 UNO327735:UNO327736 UXK327735:UXK327736 VHG327735:VHG327736 VRC327735:VRC327736 WAY327735:WAY327736 WKU327735:WKU327736 WUQ327735:WUQ327736 IE393271:IE393272 SA393271:SA393272 ABW393271:ABW393272 ALS393271:ALS393272 AVO393271:AVO393272 BFK393271:BFK393272 BPG393271:BPG393272 BZC393271:BZC393272 CIY393271:CIY393272 CSU393271:CSU393272 DCQ393271:DCQ393272 DMM393271:DMM393272 DWI393271:DWI393272 EGE393271:EGE393272 EQA393271:EQA393272 EZW393271:EZW393272 FJS393271:FJS393272 FTO393271:FTO393272 GDK393271:GDK393272 GNG393271:GNG393272 GXC393271:GXC393272 HGY393271:HGY393272 HQU393271:HQU393272 IAQ393271:IAQ393272 IKM393271:IKM393272 IUI393271:IUI393272 JEE393271:JEE393272 JOA393271:JOA393272 JXW393271:JXW393272 KHS393271:KHS393272 KRO393271:KRO393272 LBK393271:LBK393272 LLG393271:LLG393272 LVC393271:LVC393272 MEY393271:MEY393272 MOU393271:MOU393272 MYQ393271:MYQ393272 NIM393271:NIM393272 NSI393271:NSI393272 OCE393271:OCE393272 OMA393271:OMA393272 OVW393271:OVW393272 PFS393271:PFS393272 PPO393271:PPO393272 PZK393271:PZK393272 QJG393271:QJG393272 QTC393271:QTC393272 RCY393271:RCY393272 RMU393271:RMU393272 RWQ393271:RWQ393272 SGM393271:SGM393272 SQI393271:SQI393272 TAE393271:TAE393272 TKA393271:TKA393272 TTW393271:TTW393272 UDS393271:UDS393272 UNO393271:UNO393272 UXK393271:UXK393272 VHG393271:VHG393272 VRC393271:VRC393272 WAY393271:WAY393272 WKU393271:WKU393272 WUQ393271:WUQ393272 IE458807:IE458808 SA458807:SA458808 ABW458807:ABW458808 ALS458807:ALS458808 AVO458807:AVO458808 BFK458807:BFK458808 BPG458807:BPG458808 BZC458807:BZC458808 CIY458807:CIY458808 CSU458807:CSU458808 DCQ458807:DCQ458808 DMM458807:DMM458808 DWI458807:DWI458808 EGE458807:EGE458808 EQA458807:EQA458808 EZW458807:EZW458808 FJS458807:FJS458808 FTO458807:FTO458808 GDK458807:GDK458808 GNG458807:GNG458808 GXC458807:GXC458808 HGY458807:HGY458808 HQU458807:HQU458808 IAQ458807:IAQ458808 IKM458807:IKM458808 IUI458807:IUI458808 JEE458807:JEE458808 JOA458807:JOA458808 JXW458807:JXW458808 KHS458807:KHS458808 KRO458807:KRO458808 LBK458807:LBK458808 LLG458807:LLG458808 LVC458807:LVC458808 MEY458807:MEY458808 MOU458807:MOU458808 MYQ458807:MYQ458808 NIM458807:NIM458808 NSI458807:NSI458808 OCE458807:OCE458808 OMA458807:OMA458808 OVW458807:OVW458808 PFS458807:PFS458808 PPO458807:PPO458808 PZK458807:PZK458808 QJG458807:QJG458808 QTC458807:QTC458808 RCY458807:RCY458808 RMU458807:RMU458808 RWQ458807:RWQ458808 SGM458807:SGM458808 SQI458807:SQI458808 TAE458807:TAE458808 TKA458807:TKA458808 TTW458807:TTW458808 UDS458807:UDS458808 UNO458807:UNO458808 UXK458807:UXK458808 VHG458807:VHG458808 VRC458807:VRC458808 WAY458807:WAY458808 WKU458807:WKU458808 WUQ458807:WUQ458808 IE524343:IE524344 SA524343:SA524344 ABW524343:ABW524344 ALS524343:ALS524344 AVO524343:AVO524344 BFK524343:BFK524344 BPG524343:BPG524344 BZC524343:BZC524344 CIY524343:CIY524344 CSU524343:CSU524344 DCQ524343:DCQ524344 DMM524343:DMM524344 DWI524343:DWI524344 EGE524343:EGE524344 EQA524343:EQA524344 EZW524343:EZW524344 FJS524343:FJS524344 FTO524343:FTO524344 GDK524343:GDK524344 GNG524343:GNG524344 GXC524343:GXC524344 HGY524343:HGY524344 HQU524343:HQU524344 IAQ524343:IAQ524344 IKM524343:IKM524344 IUI524343:IUI524344 JEE524343:JEE524344 JOA524343:JOA524344 JXW524343:JXW524344 KHS524343:KHS524344 KRO524343:KRO524344 LBK524343:LBK524344 LLG524343:LLG524344 LVC524343:LVC524344 MEY524343:MEY524344 MOU524343:MOU524344 MYQ524343:MYQ524344 NIM524343:NIM524344 NSI524343:NSI524344 OCE524343:OCE524344 OMA524343:OMA524344 OVW524343:OVW524344 PFS524343:PFS524344 PPO524343:PPO524344 PZK524343:PZK524344 QJG524343:QJG524344 QTC524343:QTC524344 RCY524343:RCY524344 RMU524343:RMU524344 RWQ524343:RWQ524344 SGM524343:SGM524344 SQI524343:SQI524344 TAE524343:TAE524344 TKA524343:TKA524344 TTW524343:TTW524344 UDS524343:UDS524344 UNO524343:UNO524344 UXK524343:UXK524344 VHG524343:VHG524344 VRC524343:VRC524344 WAY524343:WAY524344 WKU524343:WKU524344 WUQ524343:WUQ524344 IE589879:IE589880 SA589879:SA589880 ABW589879:ABW589880 ALS589879:ALS589880 AVO589879:AVO589880 BFK589879:BFK589880 BPG589879:BPG589880 BZC589879:BZC589880 CIY589879:CIY589880 CSU589879:CSU589880 DCQ589879:DCQ589880 DMM589879:DMM589880 DWI589879:DWI589880 EGE589879:EGE589880 EQA589879:EQA589880 EZW589879:EZW589880 FJS589879:FJS589880 FTO589879:FTO589880 GDK589879:GDK589880 GNG589879:GNG589880 GXC589879:GXC589880 HGY589879:HGY589880 HQU589879:HQU589880 IAQ589879:IAQ589880 IKM589879:IKM589880 IUI589879:IUI589880 JEE589879:JEE589880 JOA589879:JOA589880 JXW589879:JXW589880 KHS589879:KHS589880 KRO589879:KRO589880 LBK589879:LBK589880 LLG589879:LLG589880 LVC589879:LVC589880 MEY589879:MEY589880 MOU589879:MOU589880 MYQ589879:MYQ589880 NIM589879:NIM589880 NSI589879:NSI589880 OCE589879:OCE589880 OMA589879:OMA589880 OVW589879:OVW589880 PFS589879:PFS589880 PPO589879:PPO589880 PZK589879:PZK589880 QJG589879:QJG589880 QTC589879:QTC589880 RCY589879:RCY589880 RMU589879:RMU589880 RWQ589879:RWQ589880 SGM589879:SGM589880 SQI589879:SQI589880 TAE589879:TAE589880 TKA589879:TKA589880 TTW589879:TTW589880 UDS589879:UDS589880 UNO589879:UNO589880 UXK589879:UXK589880 VHG589879:VHG589880 VRC589879:VRC589880 WAY589879:WAY589880 WKU589879:WKU589880 WUQ589879:WUQ589880 IE655415:IE655416 SA655415:SA655416 ABW655415:ABW655416 ALS655415:ALS655416 AVO655415:AVO655416 BFK655415:BFK655416 BPG655415:BPG655416 BZC655415:BZC655416 CIY655415:CIY655416 CSU655415:CSU655416 DCQ655415:DCQ655416 DMM655415:DMM655416 DWI655415:DWI655416 EGE655415:EGE655416 EQA655415:EQA655416 EZW655415:EZW655416 FJS655415:FJS655416 FTO655415:FTO655416 GDK655415:GDK655416 GNG655415:GNG655416 GXC655415:GXC655416 HGY655415:HGY655416 HQU655415:HQU655416 IAQ655415:IAQ655416 IKM655415:IKM655416 IUI655415:IUI655416 JEE655415:JEE655416 JOA655415:JOA655416 JXW655415:JXW655416 KHS655415:KHS655416 KRO655415:KRO655416 LBK655415:LBK655416 LLG655415:LLG655416 LVC655415:LVC655416 MEY655415:MEY655416 MOU655415:MOU655416 MYQ655415:MYQ655416 NIM655415:NIM655416 NSI655415:NSI655416 OCE655415:OCE655416 OMA655415:OMA655416 OVW655415:OVW655416 PFS655415:PFS655416 PPO655415:PPO655416 PZK655415:PZK655416 QJG655415:QJG655416 QTC655415:QTC655416 RCY655415:RCY655416 RMU655415:RMU655416 RWQ655415:RWQ655416 SGM655415:SGM655416 SQI655415:SQI655416 TAE655415:TAE655416 TKA655415:TKA655416 TTW655415:TTW655416 UDS655415:UDS655416 UNO655415:UNO655416 UXK655415:UXK655416 VHG655415:VHG655416 VRC655415:VRC655416 WAY655415:WAY655416 WKU655415:WKU655416 WUQ655415:WUQ655416 IE720951:IE720952 SA720951:SA720952 ABW720951:ABW720952 ALS720951:ALS720952 AVO720951:AVO720952 BFK720951:BFK720952 BPG720951:BPG720952 BZC720951:BZC720952 CIY720951:CIY720952 CSU720951:CSU720952 DCQ720951:DCQ720952 DMM720951:DMM720952 DWI720951:DWI720952 EGE720951:EGE720952 EQA720951:EQA720952 EZW720951:EZW720952 FJS720951:FJS720952 FTO720951:FTO720952 GDK720951:GDK720952 GNG720951:GNG720952 GXC720951:GXC720952 HGY720951:HGY720952 HQU720951:HQU720952 IAQ720951:IAQ720952 IKM720951:IKM720952 IUI720951:IUI720952 JEE720951:JEE720952 JOA720951:JOA720952 JXW720951:JXW720952 KHS720951:KHS720952 KRO720951:KRO720952 LBK720951:LBK720952 LLG720951:LLG720952 LVC720951:LVC720952 MEY720951:MEY720952 MOU720951:MOU720952 MYQ720951:MYQ720952 NIM720951:NIM720952 NSI720951:NSI720952 OCE720951:OCE720952 OMA720951:OMA720952 OVW720951:OVW720952 PFS720951:PFS720952 PPO720951:PPO720952 PZK720951:PZK720952 QJG720951:QJG720952 QTC720951:QTC720952 RCY720951:RCY720952 RMU720951:RMU720952 RWQ720951:RWQ720952 SGM720951:SGM720952 SQI720951:SQI720952 TAE720951:TAE720952 TKA720951:TKA720952 TTW720951:TTW720952 UDS720951:UDS720952 UNO720951:UNO720952 UXK720951:UXK720952 VHG720951:VHG720952 VRC720951:VRC720952 WAY720951:WAY720952 WKU720951:WKU720952 WUQ720951:WUQ720952 IE786487:IE786488 SA786487:SA786488 ABW786487:ABW786488 ALS786487:ALS786488 AVO786487:AVO786488 BFK786487:BFK786488 BPG786487:BPG786488 BZC786487:BZC786488 CIY786487:CIY786488 CSU786487:CSU786488 DCQ786487:DCQ786488 DMM786487:DMM786488 DWI786487:DWI786488 EGE786487:EGE786488 EQA786487:EQA786488 EZW786487:EZW786488 FJS786487:FJS786488 FTO786487:FTO786488 GDK786487:GDK786488 GNG786487:GNG786488 GXC786487:GXC786488 HGY786487:HGY786488 HQU786487:HQU786488 IAQ786487:IAQ786488 IKM786487:IKM786488 IUI786487:IUI786488 JEE786487:JEE786488 JOA786487:JOA786488 JXW786487:JXW786488 KHS786487:KHS786488 KRO786487:KRO786488 LBK786487:LBK786488 LLG786487:LLG786488 LVC786487:LVC786488 MEY786487:MEY786488 MOU786487:MOU786488 MYQ786487:MYQ786488 NIM786487:NIM786488 NSI786487:NSI786488 OCE786487:OCE786488 OMA786487:OMA786488 OVW786487:OVW786488 PFS786487:PFS786488 PPO786487:PPO786488 PZK786487:PZK786488 QJG786487:QJG786488 QTC786487:QTC786488 RCY786487:RCY786488 RMU786487:RMU786488 RWQ786487:RWQ786488 SGM786487:SGM786488 SQI786487:SQI786488 TAE786487:TAE786488 TKA786487:TKA786488 TTW786487:TTW786488 UDS786487:UDS786488 UNO786487:UNO786488 UXK786487:UXK786488 VHG786487:VHG786488 VRC786487:VRC786488 WAY786487:WAY786488 WKU786487:WKU786488 WUQ786487:WUQ786488 IE852023:IE852024 SA852023:SA852024 ABW852023:ABW852024 ALS852023:ALS852024 AVO852023:AVO852024 BFK852023:BFK852024 BPG852023:BPG852024 BZC852023:BZC852024 CIY852023:CIY852024 CSU852023:CSU852024 DCQ852023:DCQ852024 DMM852023:DMM852024 DWI852023:DWI852024 EGE852023:EGE852024 EQA852023:EQA852024 EZW852023:EZW852024 FJS852023:FJS852024 FTO852023:FTO852024 GDK852023:GDK852024 GNG852023:GNG852024 GXC852023:GXC852024 HGY852023:HGY852024 HQU852023:HQU852024 IAQ852023:IAQ852024 IKM852023:IKM852024 IUI852023:IUI852024 JEE852023:JEE852024 JOA852023:JOA852024 JXW852023:JXW852024 KHS852023:KHS852024 KRO852023:KRO852024 LBK852023:LBK852024 LLG852023:LLG852024 LVC852023:LVC852024 MEY852023:MEY852024 MOU852023:MOU852024 MYQ852023:MYQ852024 NIM852023:NIM852024 NSI852023:NSI852024 OCE852023:OCE852024 OMA852023:OMA852024 OVW852023:OVW852024 PFS852023:PFS852024 PPO852023:PPO852024 PZK852023:PZK852024 QJG852023:QJG852024 QTC852023:QTC852024 RCY852023:RCY852024 RMU852023:RMU852024 RWQ852023:RWQ852024 SGM852023:SGM852024 SQI852023:SQI852024 TAE852023:TAE852024 TKA852023:TKA852024 TTW852023:TTW852024 UDS852023:UDS852024 UNO852023:UNO852024 UXK852023:UXK852024 VHG852023:VHG852024 VRC852023:VRC852024 WAY852023:WAY852024 WKU852023:WKU852024 WUQ852023:WUQ852024 IE917559:IE917560 SA917559:SA917560 ABW917559:ABW917560 ALS917559:ALS917560 AVO917559:AVO917560 BFK917559:BFK917560 BPG917559:BPG917560 BZC917559:BZC917560 CIY917559:CIY917560 CSU917559:CSU917560 DCQ917559:DCQ917560 DMM917559:DMM917560 DWI917559:DWI917560 EGE917559:EGE917560 EQA917559:EQA917560 EZW917559:EZW917560 FJS917559:FJS917560 FTO917559:FTO917560 GDK917559:GDK917560 GNG917559:GNG917560 GXC917559:GXC917560 HGY917559:HGY917560 HQU917559:HQU917560 IAQ917559:IAQ917560 IKM917559:IKM917560 IUI917559:IUI917560 JEE917559:JEE917560 JOA917559:JOA917560 JXW917559:JXW917560 KHS917559:KHS917560 KRO917559:KRO917560 LBK917559:LBK917560 LLG917559:LLG917560 LVC917559:LVC917560 MEY917559:MEY917560 MOU917559:MOU917560 MYQ917559:MYQ917560 NIM917559:NIM917560 NSI917559:NSI917560 OCE917559:OCE917560 OMA917559:OMA917560 OVW917559:OVW917560 PFS917559:PFS917560 PPO917559:PPO917560 PZK917559:PZK917560 QJG917559:QJG917560 QTC917559:QTC917560 RCY917559:RCY917560 RMU917559:RMU917560 RWQ917559:RWQ917560 SGM917559:SGM917560 SQI917559:SQI917560 TAE917559:TAE917560 TKA917559:TKA917560 TTW917559:TTW917560 UDS917559:UDS917560 UNO917559:UNO917560 UXK917559:UXK917560 VHG917559:VHG917560 VRC917559:VRC917560 WAY917559:WAY917560 WKU917559:WKU917560 WUQ917559:WUQ917560 IE983095:IE983096 SA983095:SA983096 ABW983095:ABW983096 ALS983095:ALS983096 AVO983095:AVO983096 BFK983095:BFK983096 BPG983095:BPG983096 BZC983095:BZC983096 CIY983095:CIY983096 CSU983095:CSU983096 DCQ983095:DCQ983096 DMM983095:DMM983096 DWI983095:DWI983096 EGE983095:EGE983096 EQA983095:EQA983096 EZW983095:EZW983096 FJS983095:FJS983096 FTO983095:FTO983096 GDK983095:GDK983096 GNG983095:GNG983096 GXC983095:GXC983096 HGY983095:HGY983096 HQU983095:HQU983096 IAQ983095:IAQ983096 IKM983095:IKM983096 IUI983095:IUI983096 JEE983095:JEE983096 JOA983095:JOA983096 JXW983095:JXW983096 KHS983095:KHS983096 KRO983095:KRO983096 LBK983095:LBK983096 LLG983095:LLG983096 LVC983095:LVC983096 MEY983095:MEY983096 MOU983095:MOU983096 MYQ983095:MYQ983096 NIM983095:NIM983096 NSI983095:NSI983096 OCE983095:OCE983096 OMA983095:OMA983096 OVW983095:OVW983096 PFS983095:PFS983096 PPO983095:PPO983096 PZK983095:PZK983096 QJG983095:QJG983096 QTC983095:QTC983096 RCY983095:RCY983096 RMU983095:RMU983096 RWQ983095:RWQ983096 SGM983095:SGM983096 SQI983095:SQI983096 TAE983095:TAE983096 TKA983095:TKA983096 TTW983095:TTW983096 UDS983095:UDS983096 UNO983095:UNO983096 UXK983095:UXK983096 VHG983095:VHG983096 VRC983095:VRC983096 WAY983095:WAY983096 WKU983095:WKU983096 WUQ983095:WUQ983096 IG42:IG43 SC42:SC43 ABY42:ABY43 ALU42:ALU43 AVQ42:AVQ43 BFM42:BFM43 BPI42:BPI43 BZE42:BZE43 CJA42:CJA43 CSW42:CSW43 DCS42:DCS43 DMO42:DMO43 DWK42:DWK43 EGG42:EGG43 EQC42:EQC43 EZY42:EZY43 FJU42:FJU43 FTQ42:FTQ43 GDM42:GDM43 GNI42:GNI43 GXE42:GXE43 HHA42:HHA43 HQW42:HQW43 IAS42:IAS43 IKO42:IKO43 IUK42:IUK43 JEG42:JEG43 JOC42:JOC43 JXY42:JXY43 KHU42:KHU43 KRQ42:KRQ43 LBM42:LBM43 LLI42:LLI43 LVE42:LVE43 MFA42:MFA43 MOW42:MOW43 MYS42:MYS43 NIO42:NIO43 NSK42:NSK43 OCG42:OCG43 OMC42:OMC43 OVY42:OVY43 PFU42:PFU43 PPQ42:PPQ43 PZM42:PZM43 QJI42:QJI43 QTE42:QTE43 RDA42:RDA43 RMW42:RMW43 RWS42:RWS43 SGO42:SGO43 SQK42:SQK43 TAG42:TAG43 TKC42:TKC43 TTY42:TTY43 UDU42:UDU43 UNQ42:UNQ43 UXM42:UXM43 VHI42:VHI43 VRE42:VRE43 WBA42:WBA43 WKW42:WKW43 WUS42:WUS43 IG65591:IG65592 SC65591:SC65592 ABY65591:ABY65592 ALU65591:ALU65592 AVQ65591:AVQ65592 BFM65591:BFM65592 BPI65591:BPI65592 BZE65591:BZE65592 CJA65591:CJA65592 CSW65591:CSW65592 DCS65591:DCS65592 DMO65591:DMO65592 DWK65591:DWK65592 EGG65591:EGG65592 EQC65591:EQC65592 EZY65591:EZY65592 FJU65591:FJU65592 FTQ65591:FTQ65592 GDM65591:GDM65592 GNI65591:GNI65592 GXE65591:GXE65592 HHA65591:HHA65592 HQW65591:HQW65592 IAS65591:IAS65592 IKO65591:IKO65592 IUK65591:IUK65592 JEG65591:JEG65592 JOC65591:JOC65592 JXY65591:JXY65592 KHU65591:KHU65592 KRQ65591:KRQ65592 LBM65591:LBM65592 LLI65591:LLI65592 LVE65591:LVE65592 MFA65591:MFA65592 MOW65591:MOW65592 MYS65591:MYS65592 NIO65591:NIO65592 NSK65591:NSK65592 OCG65591:OCG65592 OMC65591:OMC65592 OVY65591:OVY65592 PFU65591:PFU65592 PPQ65591:PPQ65592 PZM65591:PZM65592 QJI65591:QJI65592 QTE65591:QTE65592 RDA65591:RDA65592 RMW65591:RMW65592 RWS65591:RWS65592 SGO65591:SGO65592 SQK65591:SQK65592 TAG65591:TAG65592 TKC65591:TKC65592 TTY65591:TTY65592 UDU65591:UDU65592 UNQ65591:UNQ65592 UXM65591:UXM65592 VHI65591:VHI65592 VRE65591:VRE65592 WBA65591:WBA65592 WKW65591:WKW65592 WUS65591:WUS65592 IG131127:IG131128 SC131127:SC131128 ABY131127:ABY131128 ALU131127:ALU131128 AVQ131127:AVQ131128 BFM131127:BFM131128 BPI131127:BPI131128 BZE131127:BZE131128 CJA131127:CJA131128 CSW131127:CSW131128 DCS131127:DCS131128 DMO131127:DMO131128 DWK131127:DWK131128 EGG131127:EGG131128 EQC131127:EQC131128 EZY131127:EZY131128 FJU131127:FJU131128 FTQ131127:FTQ131128 GDM131127:GDM131128 GNI131127:GNI131128 GXE131127:GXE131128 HHA131127:HHA131128 HQW131127:HQW131128 IAS131127:IAS131128 IKO131127:IKO131128 IUK131127:IUK131128 JEG131127:JEG131128 JOC131127:JOC131128 JXY131127:JXY131128 KHU131127:KHU131128 KRQ131127:KRQ131128 LBM131127:LBM131128 LLI131127:LLI131128 LVE131127:LVE131128 MFA131127:MFA131128 MOW131127:MOW131128 MYS131127:MYS131128 NIO131127:NIO131128 NSK131127:NSK131128 OCG131127:OCG131128 OMC131127:OMC131128 OVY131127:OVY131128 PFU131127:PFU131128 PPQ131127:PPQ131128 PZM131127:PZM131128 QJI131127:QJI131128 QTE131127:QTE131128 RDA131127:RDA131128 RMW131127:RMW131128 RWS131127:RWS131128 SGO131127:SGO131128 SQK131127:SQK131128 TAG131127:TAG131128 TKC131127:TKC131128 TTY131127:TTY131128 UDU131127:UDU131128 UNQ131127:UNQ131128 UXM131127:UXM131128 VHI131127:VHI131128 VRE131127:VRE131128 WBA131127:WBA131128 WKW131127:WKW131128 WUS131127:WUS131128 IG196663:IG196664 SC196663:SC196664 ABY196663:ABY196664 ALU196663:ALU196664 AVQ196663:AVQ196664 BFM196663:BFM196664 BPI196663:BPI196664 BZE196663:BZE196664 CJA196663:CJA196664 CSW196663:CSW196664 DCS196663:DCS196664 DMO196663:DMO196664 DWK196663:DWK196664 EGG196663:EGG196664 EQC196663:EQC196664 EZY196663:EZY196664 FJU196663:FJU196664 FTQ196663:FTQ196664 GDM196663:GDM196664 GNI196663:GNI196664 GXE196663:GXE196664 HHA196663:HHA196664 HQW196663:HQW196664 IAS196663:IAS196664 IKO196663:IKO196664 IUK196663:IUK196664 JEG196663:JEG196664 JOC196663:JOC196664 JXY196663:JXY196664 KHU196663:KHU196664 KRQ196663:KRQ196664 LBM196663:LBM196664 LLI196663:LLI196664 LVE196663:LVE196664 MFA196663:MFA196664 MOW196663:MOW196664 MYS196663:MYS196664 NIO196663:NIO196664 NSK196663:NSK196664 OCG196663:OCG196664 OMC196663:OMC196664 OVY196663:OVY196664 PFU196663:PFU196664 PPQ196663:PPQ196664 PZM196663:PZM196664 QJI196663:QJI196664 QTE196663:QTE196664 RDA196663:RDA196664 RMW196663:RMW196664 RWS196663:RWS196664 SGO196663:SGO196664 SQK196663:SQK196664 TAG196663:TAG196664 TKC196663:TKC196664 TTY196663:TTY196664 UDU196663:UDU196664 UNQ196663:UNQ196664 UXM196663:UXM196664 VHI196663:VHI196664 VRE196663:VRE196664 WBA196663:WBA196664 WKW196663:WKW196664 WUS196663:WUS196664 IG262199:IG262200 SC262199:SC262200 ABY262199:ABY262200 ALU262199:ALU262200 AVQ262199:AVQ262200 BFM262199:BFM262200 BPI262199:BPI262200 BZE262199:BZE262200 CJA262199:CJA262200 CSW262199:CSW262200 DCS262199:DCS262200 DMO262199:DMO262200 DWK262199:DWK262200 EGG262199:EGG262200 EQC262199:EQC262200 EZY262199:EZY262200 FJU262199:FJU262200 FTQ262199:FTQ262200 GDM262199:GDM262200 GNI262199:GNI262200 GXE262199:GXE262200 HHA262199:HHA262200 HQW262199:HQW262200 IAS262199:IAS262200 IKO262199:IKO262200 IUK262199:IUK262200 JEG262199:JEG262200 JOC262199:JOC262200 JXY262199:JXY262200 KHU262199:KHU262200 KRQ262199:KRQ262200 LBM262199:LBM262200 LLI262199:LLI262200 LVE262199:LVE262200 MFA262199:MFA262200 MOW262199:MOW262200 MYS262199:MYS262200 NIO262199:NIO262200 NSK262199:NSK262200 OCG262199:OCG262200 OMC262199:OMC262200 OVY262199:OVY262200 PFU262199:PFU262200 PPQ262199:PPQ262200 PZM262199:PZM262200 QJI262199:QJI262200 QTE262199:QTE262200 RDA262199:RDA262200 RMW262199:RMW262200 RWS262199:RWS262200 SGO262199:SGO262200 SQK262199:SQK262200 TAG262199:TAG262200 TKC262199:TKC262200 TTY262199:TTY262200 UDU262199:UDU262200 UNQ262199:UNQ262200 UXM262199:UXM262200 VHI262199:VHI262200 VRE262199:VRE262200 WBA262199:WBA262200 WKW262199:WKW262200 WUS262199:WUS262200 IG327735:IG327736 SC327735:SC327736 ABY327735:ABY327736 ALU327735:ALU327736 AVQ327735:AVQ327736 BFM327735:BFM327736 BPI327735:BPI327736 BZE327735:BZE327736 CJA327735:CJA327736 CSW327735:CSW327736 DCS327735:DCS327736 DMO327735:DMO327736 DWK327735:DWK327736 EGG327735:EGG327736 EQC327735:EQC327736 EZY327735:EZY327736 FJU327735:FJU327736 FTQ327735:FTQ327736 GDM327735:GDM327736 GNI327735:GNI327736 GXE327735:GXE327736 HHA327735:HHA327736 HQW327735:HQW327736 IAS327735:IAS327736 IKO327735:IKO327736 IUK327735:IUK327736 JEG327735:JEG327736 JOC327735:JOC327736 JXY327735:JXY327736 KHU327735:KHU327736 KRQ327735:KRQ327736 LBM327735:LBM327736 LLI327735:LLI327736 LVE327735:LVE327736 MFA327735:MFA327736 MOW327735:MOW327736 MYS327735:MYS327736 NIO327735:NIO327736 NSK327735:NSK327736 OCG327735:OCG327736 OMC327735:OMC327736 OVY327735:OVY327736 PFU327735:PFU327736 PPQ327735:PPQ327736 PZM327735:PZM327736 QJI327735:QJI327736 QTE327735:QTE327736 RDA327735:RDA327736 RMW327735:RMW327736 RWS327735:RWS327736 SGO327735:SGO327736 SQK327735:SQK327736 TAG327735:TAG327736 TKC327735:TKC327736 TTY327735:TTY327736 UDU327735:UDU327736 UNQ327735:UNQ327736 UXM327735:UXM327736 VHI327735:VHI327736 VRE327735:VRE327736 WBA327735:WBA327736 WKW327735:WKW327736 WUS327735:WUS327736 IG393271:IG393272 SC393271:SC393272 ABY393271:ABY393272 ALU393271:ALU393272 AVQ393271:AVQ393272 BFM393271:BFM393272 BPI393271:BPI393272 BZE393271:BZE393272 CJA393271:CJA393272 CSW393271:CSW393272 DCS393271:DCS393272 DMO393271:DMO393272 DWK393271:DWK393272 EGG393271:EGG393272 EQC393271:EQC393272 EZY393271:EZY393272 FJU393271:FJU393272 FTQ393271:FTQ393272 GDM393271:GDM393272 GNI393271:GNI393272 GXE393271:GXE393272 HHA393271:HHA393272 HQW393271:HQW393272 IAS393271:IAS393272 IKO393271:IKO393272 IUK393271:IUK393272 JEG393271:JEG393272 JOC393271:JOC393272 JXY393271:JXY393272 KHU393271:KHU393272 KRQ393271:KRQ393272 LBM393271:LBM393272 LLI393271:LLI393272 LVE393271:LVE393272 MFA393271:MFA393272 MOW393271:MOW393272 MYS393271:MYS393272 NIO393271:NIO393272 NSK393271:NSK393272 OCG393271:OCG393272 OMC393271:OMC393272 OVY393271:OVY393272 PFU393271:PFU393272 PPQ393271:PPQ393272 PZM393271:PZM393272 QJI393271:QJI393272 QTE393271:QTE393272 RDA393271:RDA393272 RMW393271:RMW393272 RWS393271:RWS393272 SGO393271:SGO393272 SQK393271:SQK393272 TAG393271:TAG393272 TKC393271:TKC393272 TTY393271:TTY393272 UDU393271:UDU393272 UNQ393271:UNQ393272 UXM393271:UXM393272 VHI393271:VHI393272 VRE393271:VRE393272 WBA393271:WBA393272 WKW393271:WKW393272 WUS393271:WUS393272 IG458807:IG458808 SC458807:SC458808 ABY458807:ABY458808 ALU458807:ALU458808 AVQ458807:AVQ458808 BFM458807:BFM458808 BPI458807:BPI458808 BZE458807:BZE458808 CJA458807:CJA458808 CSW458807:CSW458808 DCS458807:DCS458808 DMO458807:DMO458808 DWK458807:DWK458808 EGG458807:EGG458808 EQC458807:EQC458808 EZY458807:EZY458808 FJU458807:FJU458808 FTQ458807:FTQ458808 GDM458807:GDM458808 GNI458807:GNI458808 GXE458807:GXE458808 HHA458807:HHA458808 HQW458807:HQW458808 IAS458807:IAS458808 IKO458807:IKO458808 IUK458807:IUK458808 JEG458807:JEG458808 JOC458807:JOC458808 JXY458807:JXY458808 KHU458807:KHU458808 KRQ458807:KRQ458808 LBM458807:LBM458808 LLI458807:LLI458808 LVE458807:LVE458808 MFA458807:MFA458808 MOW458807:MOW458808 MYS458807:MYS458808 NIO458807:NIO458808 NSK458807:NSK458808 OCG458807:OCG458808 OMC458807:OMC458808 OVY458807:OVY458808 PFU458807:PFU458808 PPQ458807:PPQ458808 PZM458807:PZM458808 QJI458807:QJI458808 QTE458807:QTE458808 RDA458807:RDA458808 RMW458807:RMW458808 RWS458807:RWS458808 SGO458807:SGO458808 SQK458807:SQK458808 TAG458807:TAG458808 TKC458807:TKC458808 TTY458807:TTY458808 UDU458807:UDU458808 UNQ458807:UNQ458808 UXM458807:UXM458808 VHI458807:VHI458808 VRE458807:VRE458808 WBA458807:WBA458808 WKW458807:WKW458808 WUS458807:WUS458808 IG524343:IG524344 SC524343:SC524344 ABY524343:ABY524344 ALU524343:ALU524344 AVQ524343:AVQ524344 BFM524343:BFM524344 BPI524343:BPI524344 BZE524343:BZE524344 CJA524343:CJA524344 CSW524343:CSW524344 DCS524343:DCS524344 DMO524343:DMO524344 DWK524343:DWK524344 EGG524343:EGG524344 EQC524343:EQC524344 EZY524343:EZY524344 FJU524343:FJU524344 FTQ524343:FTQ524344 GDM524343:GDM524344 GNI524343:GNI524344 GXE524343:GXE524344 HHA524343:HHA524344 HQW524343:HQW524344 IAS524343:IAS524344 IKO524343:IKO524344 IUK524343:IUK524344 JEG524343:JEG524344 JOC524343:JOC524344 JXY524343:JXY524344 KHU524343:KHU524344 KRQ524343:KRQ524344 LBM524343:LBM524344 LLI524343:LLI524344 LVE524343:LVE524344 MFA524343:MFA524344 MOW524343:MOW524344 MYS524343:MYS524344 NIO524343:NIO524344 NSK524343:NSK524344 OCG524343:OCG524344 OMC524343:OMC524344 OVY524343:OVY524344 PFU524343:PFU524344 PPQ524343:PPQ524344 PZM524343:PZM524344 QJI524343:QJI524344 QTE524343:QTE524344 RDA524343:RDA524344 RMW524343:RMW524344 RWS524343:RWS524344 SGO524343:SGO524344 SQK524343:SQK524344 TAG524343:TAG524344 TKC524343:TKC524344 TTY524343:TTY524344 UDU524343:UDU524344 UNQ524343:UNQ524344 UXM524343:UXM524344 VHI524343:VHI524344 VRE524343:VRE524344 WBA524343:WBA524344 WKW524343:WKW524344 WUS524343:WUS524344 IG589879:IG589880 SC589879:SC589880 ABY589879:ABY589880 ALU589879:ALU589880 AVQ589879:AVQ589880 BFM589879:BFM589880 BPI589879:BPI589880 BZE589879:BZE589880 CJA589879:CJA589880 CSW589879:CSW589880 DCS589879:DCS589880 DMO589879:DMO589880 DWK589879:DWK589880 EGG589879:EGG589880 EQC589879:EQC589880 EZY589879:EZY589880 FJU589879:FJU589880 FTQ589879:FTQ589880 GDM589879:GDM589880 GNI589879:GNI589880 GXE589879:GXE589880 HHA589879:HHA589880 HQW589879:HQW589880 IAS589879:IAS589880 IKO589879:IKO589880 IUK589879:IUK589880 JEG589879:JEG589880 JOC589879:JOC589880 JXY589879:JXY589880 KHU589879:KHU589880 KRQ589879:KRQ589880 LBM589879:LBM589880 LLI589879:LLI589880 LVE589879:LVE589880 MFA589879:MFA589880 MOW589879:MOW589880 MYS589879:MYS589880 NIO589879:NIO589880 NSK589879:NSK589880 OCG589879:OCG589880 OMC589879:OMC589880 OVY589879:OVY589880 PFU589879:PFU589880 PPQ589879:PPQ589880 PZM589879:PZM589880 QJI589879:QJI589880 QTE589879:QTE589880 RDA589879:RDA589880 RMW589879:RMW589880 RWS589879:RWS589880 SGO589879:SGO589880 SQK589879:SQK589880 TAG589879:TAG589880 TKC589879:TKC589880 TTY589879:TTY589880 UDU589879:UDU589880 UNQ589879:UNQ589880 UXM589879:UXM589880 VHI589879:VHI589880 VRE589879:VRE589880 WBA589879:WBA589880 WKW589879:WKW589880 WUS589879:WUS589880 IG655415:IG655416 SC655415:SC655416 ABY655415:ABY655416 ALU655415:ALU655416 AVQ655415:AVQ655416 BFM655415:BFM655416 BPI655415:BPI655416 BZE655415:BZE655416 CJA655415:CJA655416 CSW655415:CSW655416 DCS655415:DCS655416 DMO655415:DMO655416 DWK655415:DWK655416 EGG655415:EGG655416 EQC655415:EQC655416 EZY655415:EZY655416 FJU655415:FJU655416 FTQ655415:FTQ655416 GDM655415:GDM655416 GNI655415:GNI655416 GXE655415:GXE655416 HHA655415:HHA655416 HQW655415:HQW655416 IAS655415:IAS655416 IKO655415:IKO655416 IUK655415:IUK655416 JEG655415:JEG655416 JOC655415:JOC655416 JXY655415:JXY655416 KHU655415:KHU655416 KRQ655415:KRQ655416 LBM655415:LBM655416 LLI655415:LLI655416 LVE655415:LVE655416 MFA655415:MFA655416 MOW655415:MOW655416 MYS655415:MYS655416 NIO655415:NIO655416 NSK655415:NSK655416 OCG655415:OCG655416 OMC655415:OMC655416 OVY655415:OVY655416 PFU655415:PFU655416 PPQ655415:PPQ655416 PZM655415:PZM655416 QJI655415:QJI655416 QTE655415:QTE655416 RDA655415:RDA655416 RMW655415:RMW655416 RWS655415:RWS655416 SGO655415:SGO655416 SQK655415:SQK655416 TAG655415:TAG655416 TKC655415:TKC655416 TTY655415:TTY655416 UDU655415:UDU655416 UNQ655415:UNQ655416 UXM655415:UXM655416 VHI655415:VHI655416 VRE655415:VRE655416 WBA655415:WBA655416 WKW655415:WKW655416 WUS655415:WUS655416 IG720951:IG720952 SC720951:SC720952 ABY720951:ABY720952 ALU720951:ALU720952 AVQ720951:AVQ720952 BFM720951:BFM720952 BPI720951:BPI720952 BZE720951:BZE720952 CJA720951:CJA720952 CSW720951:CSW720952 DCS720951:DCS720952 DMO720951:DMO720952 DWK720951:DWK720952 EGG720951:EGG720952 EQC720951:EQC720952 EZY720951:EZY720952 FJU720951:FJU720952 FTQ720951:FTQ720952 GDM720951:GDM720952 GNI720951:GNI720952 GXE720951:GXE720952 HHA720951:HHA720952 HQW720951:HQW720952 IAS720951:IAS720952 IKO720951:IKO720952 IUK720951:IUK720952 JEG720951:JEG720952 JOC720951:JOC720952 JXY720951:JXY720952 KHU720951:KHU720952 KRQ720951:KRQ720952 LBM720951:LBM720952 LLI720951:LLI720952 LVE720951:LVE720952 MFA720951:MFA720952 MOW720951:MOW720952 MYS720951:MYS720952 NIO720951:NIO720952 NSK720951:NSK720952 OCG720951:OCG720952 OMC720951:OMC720952 OVY720951:OVY720952 PFU720951:PFU720952 PPQ720951:PPQ720952 PZM720951:PZM720952 QJI720951:QJI720952 QTE720951:QTE720952 RDA720951:RDA720952 RMW720951:RMW720952 RWS720951:RWS720952 SGO720951:SGO720952 SQK720951:SQK720952 TAG720951:TAG720952 TKC720951:TKC720952 TTY720951:TTY720952 UDU720951:UDU720952 UNQ720951:UNQ720952 UXM720951:UXM720952 VHI720951:VHI720952 VRE720951:VRE720952 WBA720951:WBA720952 WKW720951:WKW720952 WUS720951:WUS720952 IG786487:IG786488 SC786487:SC786488 ABY786487:ABY786488 ALU786487:ALU786488 AVQ786487:AVQ786488 BFM786487:BFM786488 BPI786487:BPI786488 BZE786487:BZE786488 CJA786487:CJA786488 CSW786487:CSW786488 DCS786487:DCS786488 DMO786487:DMO786488 DWK786487:DWK786488 EGG786487:EGG786488 EQC786487:EQC786488 EZY786487:EZY786488 FJU786487:FJU786488 FTQ786487:FTQ786488 GDM786487:GDM786488 GNI786487:GNI786488 GXE786487:GXE786488 HHA786487:HHA786488 HQW786487:HQW786488 IAS786487:IAS786488 IKO786487:IKO786488 IUK786487:IUK786488 JEG786487:JEG786488 JOC786487:JOC786488 JXY786487:JXY786488 KHU786487:KHU786488 KRQ786487:KRQ786488 LBM786487:LBM786488 LLI786487:LLI786488 LVE786487:LVE786488 MFA786487:MFA786488 MOW786487:MOW786488 MYS786487:MYS786488 NIO786487:NIO786488 NSK786487:NSK786488 OCG786487:OCG786488 OMC786487:OMC786488 OVY786487:OVY786488 PFU786487:PFU786488 PPQ786487:PPQ786488 PZM786487:PZM786488 QJI786487:QJI786488 QTE786487:QTE786488 RDA786487:RDA786488 RMW786487:RMW786488 RWS786487:RWS786488 SGO786487:SGO786488 SQK786487:SQK786488 TAG786487:TAG786488 TKC786487:TKC786488 TTY786487:TTY786488 UDU786487:UDU786488 UNQ786487:UNQ786488 UXM786487:UXM786488 VHI786487:VHI786488 VRE786487:VRE786488 WBA786487:WBA786488 WKW786487:WKW786488 WUS786487:WUS786488 IG852023:IG852024 SC852023:SC852024 ABY852023:ABY852024 ALU852023:ALU852024 AVQ852023:AVQ852024 BFM852023:BFM852024 BPI852023:BPI852024 BZE852023:BZE852024 CJA852023:CJA852024 CSW852023:CSW852024 DCS852023:DCS852024 DMO852023:DMO852024 DWK852023:DWK852024 EGG852023:EGG852024 EQC852023:EQC852024 EZY852023:EZY852024 FJU852023:FJU852024 FTQ852023:FTQ852024 GDM852023:GDM852024 GNI852023:GNI852024 GXE852023:GXE852024 HHA852023:HHA852024 HQW852023:HQW852024 IAS852023:IAS852024 IKO852023:IKO852024 IUK852023:IUK852024 JEG852023:JEG852024 JOC852023:JOC852024 JXY852023:JXY852024 KHU852023:KHU852024 KRQ852023:KRQ852024 LBM852023:LBM852024 LLI852023:LLI852024 LVE852023:LVE852024 MFA852023:MFA852024 MOW852023:MOW852024 MYS852023:MYS852024 NIO852023:NIO852024 NSK852023:NSK852024 OCG852023:OCG852024 OMC852023:OMC852024 OVY852023:OVY852024 PFU852023:PFU852024 PPQ852023:PPQ852024 PZM852023:PZM852024 QJI852023:QJI852024 QTE852023:QTE852024 RDA852023:RDA852024 RMW852023:RMW852024 RWS852023:RWS852024 SGO852023:SGO852024 SQK852023:SQK852024 TAG852023:TAG852024 TKC852023:TKC852024 TTY852023:TTY852024 UDU852023:UDU852024 UNQ852023:UNQ852024 UXM852023:UXM852024 VHI852023:VHI852024 VRE852023:VRE852024 WBA852023:WBA852024 WKW852023:WKW852024 WUS852023:WUS852024 IG917559:IG917560 SC917559:SC917560 ABY917559:ABY917560 ALU917559:ALU917560 AVQ917559:AVQ917560 BFM917559:BFM917560 BPI917559:BPI917560 BZE917559:BZE917560 CJA917559:CJA917560 CSW917559:CSW917560 DCS917559:DCS917560 DMO917559:DMO917560 DWK917559:DWK917560 EGG917559:EGG917560 EQC917559:EQC917560 EZY917559:EZY917560 FJU917559:FJU917560 FTQ917559:FTQ917560 GDM917559:GDM917560 GNI917559:GNI917560 GXE917559:GXE917560 HHA917559:HHA917560 HQW917559:HQW917560 IAS917559:IAS917560 IKO917559:IKO917560 IUK917559:IUK917560 JEG917559:JEG917560 JOC917559:JOC917560 JXY917559:JXY917560 KHU917559:KHU917560 KRQ917559:KRQ917560 LBM917559:LBM917560 LLI917559:LLI917560 LVE917559:LVE917560 MFA917559:MFA917560 MOW917559:MOW917560 MYS917559:MYS917560 NIO917559:NIO917560 NSK917559:NSK917560 OCG917559:OCG917560 OMC917559:OMC917560 OVY917559:OVY917560 PFU917559:PFU917560 PPQ917559:PPQ917560 PZM917559:PZM917560 QJI917559:QJI917560 QTE917559:QTE917560 RDA917559:RDA917560 RMW917559:RMW917560 RWS917559:RWS917560 SGO917559:SGO917560 SQK917559:SQK917560 TAG917559:TAG917560 TKC917559:TKC917560 TTY917559:TTY917560 UDU917559:UDU917560 UNQ917559:UNQ917560 UXM917559:UXM917560 VHI917559:VHI917560 VRE917559:VRE917560 WBA917559:WBA917560 WKW917559:WKW917560 WUS917559:WUS917560 IG983095:IG983096 SC983095:SC983096 ABY983095:ABY983096 ALU983095:ALU983096 AVQ983095:AVQ983096 BFM983095:BFM983096 BPI983095:BPI983096 BZE983095:BZE983096 CJA983095:CJA983096 CSW983095:CSW983096 DCS983095:DCS983096 DMO983095:DMO983096 DWK983095:DWK983096 EGG983095:EGG983096 EQC983095:EQC983096 EZY983095:EZY983096 FJU983095:FJU983096 FTQ983095:FTQ983096 GDM983095:GDM983096 GNI983095:GNI983096 GXE983095:GXE983096 HHA983095:HHA983096 HQW983095:HQW983096 IAS983095:IAS983096 IKO983095:IKO983096 IUK983095:IUK983096 JEG983095:JEG983096 JOC983095:JOC983096 JXY983095:JXY983096 KHU983095:KHU983096 KRQ983095:KRQ983096 LBM983095:LBM983096 LLI983095:LLI983096 LVE983095:LVE983096 MFA983095:MFA983096 MOW983095:MOW983096 MYS983095:MYS983096 NIO983095:NIO983096 NSK983095:NSK983096 OCG983095:OCG983096 OMC983095:OMC983096 OVY983095:OVY983096 PFU983095:PFU983096 PPQ983095:PPQ983096 PZM983095:PZM983096 QJI983095:QJI983096 QTE983095:QTE983096 RDA983095:RDA983096 RMW983095:RMW983096 RWS983095:RWS983096 SGO983095:SGO983096 SQK983095:SQK983096 TAG983095:TAG983096 TKC983095:TKC983096 TTY983095:TTY983096 UDU983095:UDU983096 UNQ983095:UNQ983096 UXM983095:UXM983096 VHI983095:VHI983096 VRE983095:VRE983096 WBA983095:WBA983096 WKW983095:WKW983096 WUS983095:WUS983096 II42:II43 SE42:SE43 ACA42:ACA43 ALW42:ALW43 AVS42:AVS43 BFO42:BFO43 BPK42:BPK43 BZG42:BZG43 CJC42:CJC43 CSY42:CSY43 DCU42:DCU43 DMQ42:DMQ43 DWM42:DWM43 EGI42:EGI43 EQE42:EQE43 FAA42:FAA43 FJW42:FJW43 FTS42:FTS43 GDO42:GDO43 GNK42:GNK43 GXG42:GXG43 HHC42:HHC43 HQY42:HQY43 IAU42:IAU43 IKQ42:IKQ43 IUM42:IUM43 JEI42:JEI43 JOE42:JOE43 JYA42:JYA43 KHW42:KHW43 KRS42:KRS43 LBO42:LBO43 LLK42:LLK43 LVG42:LVG43 MFC42:MFC43 MOY42:MOY43 MYU42:MYU43 NIQ42:NIQ43 NSM42:NSM43 OCI42:OCI43 OME42:OME43 OWA42:OWA43 PFW42:PFW43 PPS42:PPS43 PZO42:PZO43 QJK42:QJK43 QTG42:QTG43 RDC42:RDC43 RMY42:RMY43 RWU42:RWU43 SGQ42:SGQ43 SQM42:SQM43 TAI42:TAI43 TKE42:TKE43 TUA42:TUA43 UDW42:UDW43 UNS42:UNS43 UXO42:UXO43 VHK42:VHK43 VRG42:VRG43 WBC42:WBC43 WKY42:WKY43 WUU42:WUU43 II65591:II65592 SE65591:SE65592 ACA65591:ACA65592 ALW65591:ALW65592 AVS65591:AVS65592 BFO65591:BFO65592 BPK65591:BPK65592 BZG65591:BZG65592 CJC65591:CJC65592 CSY65591:CSY65592 DCU65591:DCU65592 DMQ65591:DMQ65592 DWM65591:DWM65592 EGI65591:EGI65592 EQE65591:EQE65592 FAA65591:FAA65592 FJW65591:FJW65592 FTS65591:FTS65592 GDO65591:GDO65592 GNK65591:GNK65592 GXG65591:GXG65592 HHC65591:HHC65592 HQY65591:HQY65592 IAU65591:IAU65592 IKQ65591:IKQ65592 IUM65591:IUM65592 JEI65591:JEI65592 JOE65591:JOE65592 JYA65591:JYA65592 KHW65591:KHW65592 KRS65591:KRS65592 LBO65591:LBO65592 LLK65591:LLK65592 LVG65591:LVG65592 MFC65591:MFC65592 MOY65591:MOY65592 MYU65591:MYU65592 NIQ65591:NIQ65592 NSM65591:NSM65592 OCI65591:OCI65592 OME65591:OME65592 OWA65591:OWA65592 PFW65591:PFW65592 PPS65591:PPS65592 PZO65591:PZO65592 QJK65591:QJK65592 QTG65591:QTG65592 RDC65591:RDC65592 RMY65591:RMY65592 RWU65591:RWU65592 SGQ65591:SGQ65592 SQM65591:SQM65592 TAI65591:TAI65592 TKE65591:TKE65592 TUA65591:TUA65592 UDW65591:UDW65592 UNS65591:UNS65592 UXO65591:UXO65592 VHK65591:VHK65592 VRG65591:VRG65592 WBC65591:WBC65592 WKY65591:WKY65592 WUU65591:WUU65592 II131127:II131128 SE131127:SE131128 ACA131127:ACA131128 ALW131127:ALW131128 AVS131127:AVS131128 BFO131127:BFO131128 BPK131127:BPK131128 BZG131127:BZG131128 CJC131127:CJC131128 CSY131127:CSY131128 DCU131127:DCU131128 DMQ131127:DMQ131128 DWM131127:DWM131128 EGI131127:EGI131128 EQE131127:EQE131128 FAA131127:FAA131128 FJW131127:FJW131128 FTS131127:FTS131128 GDO131127:GDO131128 GNK131127:GNK131128 GXG131127:GXG131128 HHC131127:HHC131128 HQY131127:HQY131128 IAU131127:IAU131128 IKQ131127:IKQ131128 IUM131127:IUM131128 JEI131127:JEI131128 JOE131127:JOE131128 JYA131127:JYA131128 KHW131127:KHW131128 KRS131127:KRS131128 LBO131127:LBO131128 LLK131127:LLK131128 LVG131127:LVG131128 MFC131127:MFC131128 MOY131127:MOY131128 MYU131127:MYU131128 NIQ131127:NIQ131128 NSM131127:NSM131128 OCI131127:OCI131128 OME131127:OME131128 OWA131127:OWA131128 PFW131127:PFW131128 PPS131127:PPS131128 PZO131127:PZO131128 QJK131127:QJK131128 QTG131127:QTG131128 RDC131127:RDC131128 RMY131127:RMY131128 RWU131127:RWU131128 SGQ131127:SGQ131128 SQM131127:SQM131128 TAI131127:TAI131128 TKE131127:TKE131128 TUA131127:TUA131128 UDW131127:UDW131128 UNS131127:UNS131128 UXO131127:UXO131128 VHK131127:VHK131128 VRG131127:VRG131128 WBC131127:WBC131128 WKY131127:WKY131128 WUU131127:WUU131128 II196663:II196664 SE196663:SE196664 ACA196663:ACA196664 ALW196663:ALW196664 AVS196663:AVS196664 BFO196663:BFO196664 BPK196663:BPK196664 BZG196663:BZG196664 CJC196663:CJC196664 CSY196663:CSY196664 DCU196663:DCU196664 DMQ196663:DMQ196664 DWM196663:DWM196664 EGI196663:EGI196664 EQE196663:EQE196664 FAA196663:FAA196664 FJW196663:FJW196664 FTS196663:FTS196664 GDO196663:GDO196664 GNK196663:GNK196664 GXG196663:GXG196664 HHC196663:HHC196664 HQY196663:HQY196664 IAU196663:IAU196664 IKQ196663:IKQ196664 IUM196663:IUM196664 JEI196663:JEI196664 JOE196663:JOE196664 JYA196663:JYA196664 KHW196663:KHW196664 KRS196663:KRS196664 LBO196663:LBO196664 LLK196663:LLK196664 LVG196663:LVG196664 MFC196663:MFC196664 MOY196663:MOY196664 MYU196663:MYU196664 NIQ196663:NIQ196664 NSM196663:NSM196664 OCI196663:OCI196664 OME196663:OME196664 OWA196663:OWA196664 PFW196663:PFW196664 PPS196663:PPS196664 PZO196663:PZO196664 QJK196663:QJK196664 QTG196663:QTG196664 RDC196663:RDC196664 RMY196663:RMY196664 RWU196663:RWU196664 SGQ196663:SGQ196664 SQM196663:SQM196664 TAI196663:TAI196664 TKE196663:TKE196664 TUA196663:TUA196664 UDW196663:UDW196664 UNS196663:UNS196664 UXO196663:UXO196664 VHK196663:VHK196664 VRG196663:VRG196664 WBC196663:WBC196664 WKY196663:WKY196664 WUU196663:WUU196664 II262199:II262200 SE262199:SE262200 ACA262199:ACA262200 ALW262199:ALW262200 AVS262199:AVS262200 BFO262199:BFO262200 BPK262199:BPK262200 BZG262199:BZG262200 CJC262199:CJC262200 CSY262199:CSY262200 DCU262199:DCU262200 DMQ262199:DMQ262200 DWM262199:DWM262200 EGI262199:EGI262200 EQE262199:EQE262200 FAA262199:FAA262200 FJW262199:FJW262200 FTS262199:FTS262200 GDO262199:GDO262200 GNK262199:GNK262200 GXG262199:GXG262200 HHC262199:HHC262200 HQY262199:HQY262200 IAU262199:IAU262200 IKQ262199:IKQ262200 IUM262199:IUM262200 JEI262199:JEI262200 JOE262199:JOE262200 JYA262199:JYA262200 KHW262199:KHW262200 KRS262199:KRS262200 LBO262199:LBO262200 LLK262199:LLK262200 LVG262199:LVG262200 MFC262199:MFC262200 MOY262199:MOY262200 MYU262199:MYU262200 NIQ262199:NIQ262200 NSM262199:NSM262200 OCI262199:OCI262200 OME262199:OME262200 OWA262199:OWA262200 PFW262199:PFW262200 PPS262199:PPS262200 PZO262199:PZO262200 QJK262199:QJK262200 QTG262199:QTG262200 RDC262199:RDC262200 RMY262199:RMY262200 RWU262199:RWU262200 SGQ262199:SGQ262200 SQM262199:SQM262200 TAI262199:TAI262200 TKE262199:TKE262200 TUA262199:TUA262200 UDW262199:UDW262200 UNS262199:UNS262200 UXO262199:UXO262200 VHK262199:VHK262200 VRG262199:VRG262200 WBC262199:WBC262200 WKY262199:WKY262200 WUU262199:WUU262200 II327735:II327736 SE327735:SE327736 ACA327735:ACA327736 ALW327735:ALW327736 AVS327735:AVS327736 BFO327735:BFO327736 BPK327735:BPK327736 BZG327735:BZG327736 CJC327735:CJC327736 CSY327735:CSY327736 DCU327735:DCU327736 DMQ327735:DMQ327736 DWM327735:DWM327736 EGI327735:EGI327736 EQE327735:EQE327736 FAA327735:FAA327736 FJW327735:FJW327736 FTS327735:FTS327736 GDO327735:GDO327736 GNK327735:GNK327736 GXG327735:GXG327736 HHC327735:HHC327736 HQY327735:HQY327736 IAU327735:IAU327736 IKQ327735:IKQ327736 IUM327735:IUM327736 JEI327735:JEI327736 JOE327735:JOE327736 JYA327735:JYA327736 KHW327735:KHW327736 KRS327735:KRS327736 LBO327735:LBO327736 LLK327735:LLK327736 LVG327735:LVG327736 MFC327735:MFC327736 MOY327735:MOY327736 MYU327735:MYU327736 NIQ327735:NIQ327736 NSM327735:NSM327736 OCI327735:OCI327736 OME327735:OME327736 OWA327735:OWA327736 PFW327735:PFW327736 PPS327735:PPS327736 PZO327735:PZO327736 QJK327735:QJK327736 QTG327735:QTG327736 RDC327735:RDC327736 RMY327735:RMY327736 RWU327735:RWU327736 SGQ327735:SGQ327736 SQM327735:SQM327736 TAI327735:TAI327736 TKE327735:TKE327736 TUA327735:TUA327736 UDW327735:UDW327736 UNS327735:UNS327736 UXO327735:UXO327736 VHK327735:VHK327736 VRG327735:VRG327736 WBC327735:WBC327736 WKY327735:WKY327736 WUU327735:WUU327736 II393271:II393272 SE393271:SE393272 ACA393271:ACA393272 ALW393271:ALW393272 AVS393271:AVS393272 BFO393271:BFO393272 BPK393271:BPK393272 BZG393271:BZG393272 CJC393271:CJC393272 CSY393271:CSY393272 DCU393271:DCU393272 DMQ393271:DMQ393272 DWM393271:DWM393272 EGI393271:EGI393272 EQE393271:EQE393272 FAA393271:FAA393272 FJW393271:FJW393272 FTS393271:FTS393272 GDO393271:GDO393272 GNK393271:GNK393272 GXG393271:GXG393272 HHC393271:HHC393272 HQY393271:HQY393272 IAU393271:IAU393272 IKQ393271:IKQ393272 IUM393271:IUM393272 JEI393271:JEI393272 JOE393271:JOE393272 JYA393271:JYA393272 KHW393271:KHW393272 KRS393271:KRS393272 LBO393271:LBO393272 LLK393271:LLK393272 LVG393271:LVG393272 MFC393271:MFC393272 MOY393271:MOY393272 MYU393271:MYU393272 NIQ393271:NIQ393272 NSM393271:NSM393272 OCI393271:OCI393272 OME393271:OME393272 OWA393271:OWA393272 PFW393271:PFW393272 PPS393271:PPS393272 PZO393271:PZO393272 QJK393271:QJK393272 QTG393271:QTG393272 RDC393271:RDC393272 RMY393271:RMY393272 RWU393271:RWU393272 SGQ393271:SGQ393272 SQM393271:SQM393272 TAI393271:TAI393272 TKE393271:TKE393272 TUA393271:TUA393272 UDW393271:UDW393272 UNS393271:UNS393272 UXO393271:UXO393272 VHK393271:VHK393272 VRG393271:VRG393272 WBC393271:WBC393272 WKY393271:WKY393272 WUU393271:WUU393272 II458807:II458808 SE458807:SE458808 ACA458807:ACA458808 ALW458807:ALW458808 AVS458807:AVS458808 BFO458807:BFO458808 BPK458807:BPK458808 BZG458807:BZG458808 CJC458807:CJC458808 CSY458807:CSY458808 DCU458807:DCU458808 DMQ458807:DMQ458808 DWM458807:DWM458808 EGI458807:EGI458808 EQE458807:EQE458808 FAA458807:FAA458808 FJW458807:FJW458808 FTS458807:FTS458808 GDO458807:GDO458808 GNK458807:GNK458808 GXG458807:GXG458808 HHC458807:HHC458808 HQY458807:HQY458808 IAU458807:IAU458808 IKQ458807:IKQ458808 IUM458807:IUM458808 JEI458807:JEI458808 JOE458807:JOE458808 JYA458807:JYA458808 KHW458807:KHW458808 KRS458807:KRS458808 LBO458807:LBO458808 LLK458807:LLK458808 LVG458807:LVG458808 MFC458807:MFC458808 MOY458807:MOY458808 MYU458807:MYU458808 NIQ458807:NIQ458808 NSM458807:NSM458808 OCI458807:OCI458808 OME458807:OME458808 OWA458807:OWA458808 PFW458807:PFW458808 PPS458807:PPS458808 PZO458807:PZO458808 QJK458807:QJK458808 QTG458807:QTG458808 RDC458807:RDC458808 RMY458807:RMY458808 RWU458807:RWU458808 SGQ458807:SGQ458808 SQM458807:SQM458808 TAI458807:TAI458808 TKE458807:TKE458808 TUA458807:TUA458808 UDW458807:UDW458808 UNS458807:UNS458808 UXO458807:UXO458808 VHK458807:VHK458808 VRG458807:VRG458808 WBC458807:WBC458808 WKY458807:WKY458808 WUU458807:WUU458808 II524343:II524344 SE524343:SE524344 ACA524343:ACA524344 ALW524343:ALW524344 AVS524343:AVS524344 BFO524343:BFO524344 BPK524343:BPK524344 BZG524343:BZG524344 CJC524343:CJC524344 CSY524343:CSY524344 DCU524343:DCU524344 DMQ524343:DMQ524344 DWM524343:DWM524344 EGI524343:EGI524344 EQE524343:EQE524344 FAA524343:FAA524344 FJW524343:FJW524344 FTS524343:FTS524344 GDO524343:GDO524344 GNK524343:GNK524344 GXG524343:GXG524344 HHC524343:HHC524344 HQY524343:HQY524344 IAU524343:IAU524344 IKQ524343:IKQ524344 IUM524343:IUM524344 JEI524343:JEI524344 JOE524343:JOE524344 JYA524343:JYA524344 KHW524343:KHW524344 KRS524343:KRS524344 LBO524343:LBO524344 LLK524343:LLK524344 LVG524343:LVG524344 MFC524343:MFC524344 MOY524343:MOY524344 MYU524343:MYU524344 NIQ524343:NIQ524344 NSM524343:NSM524344 OCI524343:OCI524344 OME524343:OME524344 OWA524343:OWA524344 PFW524343:PFW524344 PPS524343:PPS524344 PZO524343:PZO524344 QJK524343:QJK524344 QTG524343:QTG524344 RDC524343:RDC524344 RMY524343:RMY524344 RWU524343:RWU524344 SGQ524343:SGQ524344 SQM524343:SQM524344 TAI524343:TAI524344 TKE524343:TKE524344 TUA524343:TUA524344 UDW524343:UDW524344 UNS524343:UNS524344 UXO524343:UXO524344 VHK524343:VHK524344 VRG524343:VRG524344 WBC524343:WBC524344 WKY524343:WKY524344 WUU524343:WUU524344 II589879:II589880 SE589879:SE589880 ACA589879:ACA589880 ALW589879:ALW589880 AVS589879:AVS589880 BFO589879:BFO589880 BPK589879:BPK589880 BZG589879:BZG589880 CJC589879:CJC589880 CSY589879:CSY589880 DCU589879:DCU589880 DMQ589879:DMQ589880 DWM589879:DWM589880 EGI589879:EGI589880 EQE589879:EQE589880 FAA589879:FAA589880 FJW589879:FJW589880 FTS589879:FTS589880 GDO589879:GDO589880 GNK589879:GNK589880 GXG589879:GXG589880 HHC589879:HHC589880 HQY589879:HQY589880 IAU589879:IAU589880 IKQ589879:IKQ589880 IUM589879:IUM589880 JEI589879:JEI589880 JOE589879:JOE589880 JYA589879:JYA589880 KHW589879:KHW589880 KRS589879:KRS589880 LBO589879:LBO589880 LLK589879:LLK589880 LVG589879:LVG589880 MFC589879:MFC589880 MOY589879:MOY589880 MYU589879:MYU589880 NIQ589879:NIQ589880 NSM589879:NSM589880 OCI589879:OCI589880 OME589879:OME589880 OWA589879:OWA589880 PFW589879:PFW589880 PPS589879:PPS589880 PZO589879:PZO589880 QJK589879:QJK589880 QTG589879:QTG589880 RDC589879:RDC589880 RMY589879:RMY589880 RWU589879:RWU589880 SGQ589879:SGQ589880 SQM589879:SQM589880 TAI589879:TAI589880 TKE589879:TKE589880 TUA589879:TUA589880 UDW589879:UDW589880 UNS589879:UNS589880 UXO589879:UXO589880 VHK589879:VHK589880 VRG589879:VRG589880 WBC589879:WBC589880 WKY589879:WKY589880 WUU589879:WUU589880 II655415:II655416 SE655415:SE655416 ACA655415:ACA655416 ALW655415:ALW655416 AVS655415:AVS655416 BFO655415:BFO655416 BPK655415:BPK655416 BZG655415:BZG655416 CJC655415:CJC655416 CSY655415:CSY655416 DCU655415:DCU655416 DMQ655415:DMQ655416 DWM655415:DWM655416 EGI655415:EGI655416 EQE655415:EQE655416 FAA655415:FAA655416 FJW655415:FJW655416 FTS655415:FTS655416 GDO655415:GDO655416 GNK655415:GNK655416 GXG655415:GXG655416 HHC655415:HHC655416 HQY655415:HQY655416 IAU655415:IAU655416 IKQ655415:IKQ655416 IUM655415:IUM655416 JEI655415:JEI655416 JOE655415:JOE655416 JYA655415:JYA655416 KHW655415:KHW655416 KRS655415:KRS655416 LBO655415:LBO655416 LLK655415:LLK655416 LVG655415:LVG655416 MFC655415:MFC655416 MOY655415:MOY655416 MYU655415:MYU655416 NIQ655415:NIQ655416 NSM655415:NSM655416 OCI655415:OCI655416 OME655415:OME655416 OWA655415:OWA655416 PFW655415:PFW655416 PPS655415:PPS655416 PZO655415:PZO655416 QJK655415:QJK655416 QTG655415:QTG655416 RDC655415:RDC655416 RMY655415:RMY655416 RWU655415:RWU655416 SGQ655415:SGQ655416 SQM655415:SQM655416 TAI655415:TAI655416 TKE655415:TKE655416 TUA655415:TUA655416 UDW655415:UDW655416 UNS655415:UNS655416 UXO655415:UXO655416 VHK655415:VHK655416 VRG655415:VRG655416 WBC655415:WBC655416 WKY655415:WKY655416 WUU655415:WUU655416 II720951:II720952 SE720951:SE720952 ACA720951:ACA720952 ALW720951:ALW720952 AVS720951:AVS720952 BFO720951:BFO720952 BPK720951:BPK720952 BZG720951:BZG720952 CJC720951:CJC720952 CSY720951:CSY720952 DCU720951:DCU720952 DMQ720951:DMQ720952 DWM720951:DWM720952 EGI720951:EGI720952 EQE720951:EQE720952 FAA720951:FAA720952 FJW720951:FJW720952 FTS720951:FTS720952 GDO720951:GDO720952 GNK720951:GNK720952 GXG720951:GXG720952 HHC720951:HHC720952 HQY720951:HQY720952 IAU720951:IAU720952 IKQ720951:IKQ720952 IUM720951:IUM720952 JEI720951:JEI720952 JOE720951:JOE720952 JYA720951:JYA720952 KHW720951:KHW720952 KRS720951:KRS720952 LBO720951:LBO720952 LLK720951:LLK720952 LVG720951:LVG720952 MFC720951:MFC720952 MOY720951:MOY720952 MYU720951:MYU720952 NIQ720951:NIQ720952 NSM720951:NSM720952 OCI720951:OCI720952 OME720951:OME720952 OWA720951:OWA720952 PFW720951:PFW720952 PPS720951:PPS720952 PZO720951:PZO720952 QJK720951:QJK720952 QTG720951:QTG720952 RDC720951:RDC720952 RMY720951:RMY720952 RWU720951:RWU720952 SGQ720951:SGQ720952 SQM720951:SQM720952 TAI720951:TAI720952 TKE720951:TKE720952 TUA720951:TUA720952 UDW720951:UDW720952 UNS720951:UNS720952 UXO720951:UXO720952 VHK720951:VHK720952 VRG720951:VRG720952 WBC720951:WBC720952 WKY720951:WKY720952 WUU720951:WUU720952 II786487:II786488 SE786487:SE786488 ACA786487:ACA786488 ALW786487:ALW786488 AVS786487:AVS786488 BFO786487:BFO786488 BPK786487:BPK786488 BZG786487:BZG786488 CJC786487:CJC786488 CSY786487:CSY786488 DCU786487:DCU786488 DMQ786487:DMQ786488 DWM786487:DWM786488 EGI786487:EGI786488 EQE786487:EQE786488 FAA786487:FAA786488 FJW786487:FJW786488 FTS786487:FTS786488 GDO786487:GDO786488 GNK786487:GNK786488 GXG786487:GXG786488 HHC786487:HHC786488 HQY786487:HQY786488 IAU786487:IAU786488 IKQ786487:IKQ786488 IUM786487:IUM786488 JEI786487:JEI786488 JOE786487:JOE786488 JYA786487:JYA786488 KHW786487:KHW786488 KRS786487:KRS786488 LBO786487:LBO786488 LLK786487:LLK786488 LVG786487:LVG786488 MFC786487:MFC786488 MOY786487:MOY786488 MYU786487:MYU786488 NIQ786487:NIQ786488 NSM786487:NSM786488 OCI786487:OCI786488 OME786487:OME786488 OWA786487:OWA786488 PFW786487:PFW786488 PPS786487:PPS786488 PZO786487:PZO786488 QJK786487:QJK786488 QTG786487:QTG786488 RDC786487:RDC786488 RMY786487:RMY786488 RWU786487:RWU786488 SGQ786487:SGQ786488 SQM786487:SQM786488 TAI786487:TAI786488 TKE786487:TKE786488 TUA786487:TUA786488 UDW786487:UDW786488 UNS786487:UNS786488 UXO786487:UXO786488 VHK786487:VHK786488 VRG786487:VRG786488 WBC786487:WBC786488 WKY786487:WKY786488 WUU786487:WUU786488 II852023:II852024 SE852023:SE852024 ACA852023:ACA852024 ALW852023:ALW852024 AVS852023:AVS852024 BFO852023:BFO852024 BPK852023:BPK852024 BZG852023:BZG852024 CJC852023:CJC852024 CSY852023:CSY852024 DCU852023:DCU852024 DMQ852023:DMQ852024 DWM852023:DWM852024 EGI852023:EGI852024 EQE852023:EQE852024 FAA852023:FAA852024 FJW852023:FJW852024 FTS852023:FTS852024 GDO852023:GDO852024 GNK852023:GNK852024 GXG852023:GXG852024 HHC852023:HHC852024 HQY852023:HQY852024 IAU852023:IAU852024 IKQ852023:IKQ852024 IUM852023:IUM852024 JEI852023:JEI852024 JOE852023:JOE852024 JYA852023:JYA852024 KHW852023:KHW852024 KRS852023:KRS852024 LBO852023:LBO852024 LLK852023:LLK852024 LVG852023:LVG852024 MFC852023:MFC852024 MOY852023:MOY852024 MYU852023:MYU852024 NIQ852023:NIQ852024 NSM852023:NSM852024 OCI852023:OCI852024 OME852023:OME852024 OWA852023:OWA852024 PFW852023:PFW852024 PPS852023:PPS852024 PZO852023:PZO852024 QJK852023:QJK852024 QTG852023:QTG852024 RDC852023:RDC852024 RMY852023:RMY852024 RWU852023:RWU852024 SGQ852023:SGQ852024 SQM852023:SQM852024 TAI852023:TAI852024 TKE852023:TKE852024 TUA852023:TUA852024 UDW852023:UDW852024 UNS852023:UNS852024 UXO852023:UXO852024 VHK852023:VHK852024 VRG852023:VRG852024 WBC852023:WBC852024 WKY852023:WKY852024 WUU852023:WUU852024 II917559:II917560 SE917559:SE917560 ACA917559:ACA917560 ALW917559:ALW917560 AVS917559:AVS917560 BFO917559:BFO917560 BPK917559:BPK917560 BZG917559:BZG917560 CJC917559:CJC917560 CSY917559:CSY917560 DCU917559:DCU917560 DMQ917559:DMQ917560 DWM917559:DWM917560 EGI917559:EGI917560 EQE917559:EQE917560 FAA917559:FAA917560 FJW917559:FJW917560 FTS917559:FTS917560 GDO917559:GDO917560 GNK917559:GNK917560 GXG917559:GXG917560 HHC917559:HHC917560 HQY917559:HQY917560 IAU917559:IAU917560 IKQ917559:IKQ917560 IUM917559:IUM917560 JEI917559:JEI917560 JOE917559:JOE917560 JYA917559:JYA917560 KHW917559:KHW917560 KRS917559:KRS917560 LBO917559:LBO917560 LLK917559:LLK917560 LVG917559:LVG917560 MFC917559:MFC917560 MOY917559:MOY917560 MYU917559:MYU917560 NIQ917559:NIQ917560 NSM917559:NSM917560 OCI917559:OCI917560 OME917559:OME917560 OWA917559:OWA917560 PFW917559:PFW917560 PPS917559:PPS917560 PZO917559:PZO917560 QJK917559:QJK917560 QTG917559:QTG917560 RDC917559:RDC917560 RMY917559:RMY917560 RWU917559:RWU917560 SGQ917559:SGQ917560 SQM917559:SQM917560 TAI917559:TAI917560 TKE917559:TKE917560 TUA917559:TUA917560 UDW917559:UDW917560 UNS917559:UNS917560 UXO917559:UXO917560 VHK917559:VHK917560 VRG917559:VRG917560 WBC917559:WBC917560 WKY917559:WKY917560 WUU917559:WUU917560 II983095:II983096 SE983095:SE983096 ACA983095:ACA983096 ALW983095:ALW983096 AVS983095:AVS983096 BFO983095:BFO983096 BPK983095:BPK983096 BZG983095:BZG983096 CJC983095:CJC983096 CSY983095:CSY983096 DCU983095:DCU983096 DMQ983095:DMQ983096 DWM983095:DWM983096 EGI983095:EGI983096 EQE983095:EQE983096 FAA983095:FAA983096 FJW983095:FJW983096 FTS983095:FTS983096 GDO983095:GDO983096 GNK983095:GNK983096 GXG983095:GXG983096 HHC983095:HHC983096 HQY983095:HQY983096 IAU983095:IAU983096 IKQ983095:IKQ983096 IUM983095:IUM983096 JEI983095:JEI983096 JOE983095:JOE983096 JYA983095:JYA983096 KHW983095:KHW983096 KRS983095:KRS983096 LBO983095:LBO983096 LLK983095:LLK983096 LVG983095:LVG983096 MFC983095:MFC983096 MOY983095:MOY983096 MYU983095:MYU983096 NIQ983095:NIQ983096 NSM983095:NSM983096 OCI983095:OCI983096 OME983095:OME983096 OWA983095:OWA983096 PFW983095:PFW983096 PPS983095:PPS983096 PZO983095:PZO983096 QJK983095:QJK983096 QTG983095:QTG983096 RDC983095:RDC983096 RMY983095:RMY983096 RWU983095:RWU983096 SGQ983095:SGQ983096 SQM983095:SQM983096 TAI983095:TAI983096 TKE983095:TKE983096 TUA983095:TUA983096 UDW983095:UDW983096 UNS983095:UNS983096 UXO983095:UXO983096 VHK983095:VHK983096 VRG983095:VRG983096 WBC983095:WBC983096 WKY983095:WKY983096 WUU983095:WUU983096 WUC15:WUH106 WKG15:WKL106 WAK15:WAP106 VQO15:VQT106 VGS15:VGX106 UWW15:UXB106 UNA15:UNF106 UDE15:UDJ106 TTI15:TTN106 TJM15:TJR106 SZQ15:SZV106 SPU15:SPZ106 SFY15:SGD106 RWC15:RWH106 RMG15:RML106 RCK15:RCP106 QSO15:QST106 QIS15:QIX106 PYW15:PZB106 PPA15:PPF106 PFE15:PFJ106 OVI15:OVN106 OLM15:OLR106 OBQ15:OBV106 NRU15:NRZ106 NHY15:NID106 MYC15:MYH106 MOG15:MOL106 MEK15:MEP106 LUO15:LUT106 LKS15:LKX106 LAW15:LBB106 KRA15:KRF106 KHE15:KHJ106 JXI15:JXN106 JNM15:JNR106 JDQ15:JDV106 ITU15:ITZ106 IJY15:IKD106 IAC15:IAH106 HQG15:HQL106 HGK15:HGP106 GWO15:GWT106 GMS15:GMX106 GCW15:GDB106 FTA15:FTF106 FJE15:FJJ106 EZI15:EZN106 EPM15:EPR106 EFQ15:EFV106 DVU15:DVZ106 DLY15:DMD106 DCC15:DCH106 CSG15:CSL106 CIK15:CIP106 BYO15:BYT106 BOS15:BOX106 BEW15:BFB106 AVA15:AVF106 ALE15:ALJ106 ABI15:ABN106 RM15:RR106 HQ15:HV106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5"/>
  <sheetViews>
    <sheetView showZeros="0" zoomScaleNormal="100" workbookViewId="0">
      <pane xSplit="4" ySplit="7" topLeftCell="E8" activePane="bottomRight" state="frozen"/>
      <selection activeCell="AG1" sqref="AG1:AG1048576"/>
      <selection pane="topRight" activeCell="AG1" sqref="AG1:AG1048576"/>
      <selection pane="bottomLeft" activeCell="AG1" sqref="AG1:AG1048576"/>
      <selection pane="bottomRight" activeCell="AG1" sqref="AG1:AG1048576"/>
    </sheetView>
  </sheetViews>
  <sheetFormatPr defaultColWidth="9.140625" defaultRowHeight="12" x14ac:dyDescent="0.2"/>
  <cols>
    <col min="1" max="1" width="2.85546875" style="91" customWidth="1"/>
    <col min="2" max="2" width="13.42578125" style="91" customWidth="1"/>
    <col min="3" max="3" width="3.5703125" style="91" customWidth="1"/>
    <col min="4" max="6" width="9.140625" style="91" customWidth="1"/>
    <col min="7" max="8" width="5.7109375" style="91" customWidth="1"/>
    <col min="9" max="24" width="6" style="91" customWidth="1"/>
    <col min="25" max="16384" width="9.140625" style="91"/>
  </cols>
  <sheetData>
    <row r="1" spans="1:25" ht="20.25" x14ac:dyDescent="0.3">
      <c r="F1" s="663">
        <f ca="1">NOW()</f>
        <v>43990.388564120367</v>
      </c>
      <c r="H1" s="665" t="str">
        <f ca="1">"tháng "&amp;MONTH(F1)</f>
        <v>tháng 6</v>
      </c>
      <c r="I1" s="665" t="str">
        <f ca="1">"năm "&amp;YEAR(F1)</f>
        <v>năm 2020</v>
      </c>
    </row>
    <row r="5" spans="1:25" ht="15" customHeight="1" x14ac:dyDescent="0.2">
      <c r="A5" s="809" t="s">
        <v>0</v>
      </c>
      <c r="B5" s="812" t="s">
        <v>2</v>
      </c>
      <c r="C5" s="815" t="s">
        <v>3</v>
      </c>
      <c r="D5" s="818" t="s">
        <v>5</v>
      </c>
      <c r="E5" s="827" t="s">
        <v>11</v>
      </c>
      <c r="F5" s="828"/>
      <c r="G5" s="824" t="s">
        <v>47</v>
      </c>
      <c r="H5" s="824" t="s">
        <v>5</v>
      </c>
      <c r="I5" s="803" t="s">
        <v>48</v>
      </c>
      <c r="J5" s="804"/>
      <c r="K5" s="804"/>
      <c r="L5" s="804"/>
      <c r="M5" s="804"/>
      <c r="N5" s="804"/>
      <c r="O5" s="804"/>
      <c r="P5" s="804"/>
      <c r="Q5" s="804"/>
      <c r="R5" s="804"/>
      <c r="S5" s="804"/>
      <c r="T5" s="804"/>
      <c r="U5" s="804"/>
      <c r="V5" s="804"/>
      <c r="W5" s="804"/>
      <c r="X5" s="805"/>
      <c r="Y5" s="821" t="s">
        <v>19</v>
      </c>
    </row>
    <row r="6" spans="1:25" ht="15" customHeight="1" x14ac:dyDescent="0.2">
      <c r="A6" s="810"/>
      <c r="B6" s="813"/>
      <c r="C6" s="816"/>
      <c r="D6" s="819"/>
      <c r="E6" s="818" t="s">
        <v>20</v>
      </c>
      <c r="F6" s="818" t="s">
        <v>22</v>
      </c>
      <c r="G6" s="826"/>
      <c r="H6" s="825"/>
      <c r="I6" s="806"/>
      <c r="J6" s="807"/>
      <c r="K6" s="807"/>
      <c r="L6" s="807"/>
      <c r="M6" s="807"/>
      <c r="N6" s="807"/>
      <c r="O6" s="807"/>
      <c r="P6" s="807"/>
      <c r="Q6" s="807"/>
      <c r="R6" s="807"/>
      <c r="S6" s="807"/>
      <c r="T6" s="807"/>
      <c r="U6" s="807"/>
      <c r="V6" s="807"/>
      <c r="W6" s="807"/>
      <c r="X6" s="808"/>
      <c r="Y6" s="822"/>
    </row>
    <row r="7" spans="1:25" x14ac:dyDescent="0.2">
      <c r="A7" s="811"/>
      <c r="B7" s="814"/>
      <c r="C7" s="817"/>
      <c r="D7" s="820"/>
      <c r="E7" s="820"/>
      <c r="F7" s="820"/>
      <c r="G7" s="825"/>
      <c r="H7" s="100"/>
      <c r="I7" s="110">
        <v>2015</v>
      </c>
      <c r="J7" s="110">
        <v>2016</v>
      </c>
      <c r="K7" s="110">
        <v>2017</v>
      </c>
      <c r="L7" s="110">
        <v>2018</v>
      </c>
      <c r="M7" s="110">
        <v>2019</v>
      </c>
      <c r="N7" s="110">
        <v>2020</v>
      </c>
      <c r="O7" s="110">
        <v>2021</v>
      </c>
      <c r="P7" s="110">
        <v>2022</v>
      </c>
      <c r="Q7" s="110">
        <v>2023</v>
      </c>
      <c r="R7" s="110">
        <v>2024</v>
      </c>
      <c r="S7" s="110">
        <v>2025</v>
      </c>
      <c r="T7" s="110">
        <v>2026</v>
      </c>
      <c r="U7" s="110">
        <v>2027</v>
      </c>
      <c r="V7" s="110">
        <v>2028</v>
      </c>
      <c r="W7" s="110">
        <v>2029</v>
      </c>
      <c r="X7" s="110">
        <v>2030</v>
      </c>
      <c r="Y7" s="823"/>
    </row>
    <row r="8" spans="1:25" ht="15.75" customHeight="1" x14ac:dyDescent="0.2">
      <c r="A8" s="101">
        <f>IF(B8=0,0,1)</f>
        <v>1</v>
      </c>
      <c r="B8" s="104" t="str">
        <f>NSTonghop!F8</f>
        <v>Lê Thị Nhung</v>
      </c>
      <c r="C8" s="105" t="str">
        <f>NSTonghop!G8</f>
        <v>x</v>
      </c>
      <c r="D8" s="106" t="str">
        <f>IF(C8=0,NSTonghop!H8,NSTonghop!I8)</f>
        <v>25/12/1983</v>
      </c>
      <c r="E8" s="107" t="str">
        <f>NSTonghop!AL8</f>
        <v>01/10/2005</v>
      </c>
      <c r="F8" s="107" t="str">
        <f>NSTonghop!AN8</f>
        <v>01/04/2006</v>
      </c>
      <c r="G8" s="88">
        <f>IF(D8=0,0,MONTH(D8))</f>
        <v>12</v>
      </c>
      <c r="H8" s="108">
        <f>IF(D8=0,0,YEAR(D8))</f>
        <v>1983</v>
      </c>
      <c r="I8" s="109" t="str">
        <f t="shared" ref="I8:I39" si="0">IF(OR(AND($C8="x",I$7-$H8=55),AND($C8=0,I$7-$H8=60)),I$7-$H8,"")</f>
        <v/>
      </c>
      <c r="J8" s="109" t="str">
        <f t="shared" ref="J8:X17" si="1">IF(OR(AND($C8="x",J$7-$H8=55),AND($C8=0, J$7-$H8=60)),J$7-$H8,"")</f>
        <v/>
      </c>
      <c r="K8" s="109" t="str">
        <f t="shared" si="1"/>
        <v/>
      </c>
      <c r="L8" s="109" t="str">
        <f t="shared" si="1"/>
        <v/>
      </c>
      <c r="M8" s="109" t="str">
        <f t="shared" si="1"/>
        <v/>
      </c>
      <c r="N8" s="109" t="str">
        <f t="shared" si="1"/>
        <v/>
      </c>
      <c r="O8" s="109" t="str">
        <f t="shared" si="1"/>
        <v/>
      </c>
      <c r="P8" s="109" t="str">
        <f t="shared" si="1"/>
        <v/>
      </c>
      <c r="Q8" s="109" t="str">
        <f t="shared" si="1"/>
        <v/>
      </c>
      <c r="R8" s="109" t="str">
        <f t="shared" si="1"/>
        <v/>
      </c>
      <c r="S8" s="109" t="str">
        <f t="shared" si="1"/>
        <v/>
      </c>
      <c r="T8" s="109" t="str">
        <f t="shared" si="1"/>
        <v/>
      </c>
      <c r="U8" s="109" t="str">
        <f t="shared" si="1"/>
        <v/>
      </c>
      <c r="V8" s="109" t="str">
        <f t="shared" si="1"/>
        <v/>
      </c>
      <c r="W8" s="109" t="str">
        <f t="shared" si="1"/>
        <v/>
      </c>
      <c r="X8" s="109" t="str">
        <f t="shared" si="1"/>
        <v/>
      </c>
      <c r="Y8" s="108"/>
    </row>
    <row r="9" spans="1:25" ht="15.75" customHeight="1" x14ac:dyDescent="0.2">
      <c r="A9" s="102">
        <f>IF(B9=0,0,MAX($A$8:A8)+1)</f>
        <v>2</v>
      </c>
      <c r="B9" s="104" t="str">
        <f>NSTonghop!F9</f>
        <v>Lê Thị Bích Thy</v>
      </c>
      <c r="C9" s="105" t="str">
        <f>NSTonghop!G9</f>
        <v>x</v>
      </c>
      <c r="D9" s="106" t="str">
        <f>IF(C9=0,NSTonghop!H9,NSTonghop!I9)</f>
        <v>04/07/1967</v>
      </c>
      <c r="E9" s="107" t="str">
        <f>NSTonghop!AL9</f>
        <v>16/11/1990</v>
      </c>
      <c r="F9" s="107" t="str">
        <f>NSTonghop!AN9</f>
        <v>01/08/1996</v>
      </c>
      <c r="G9" s="88">
        <f t="shared" ref="G9:G72" si="2">IF(D9=0,0,MONTH(D9))</f>
        <v>7</v>
      </c>
      <c r="H9" s="108">
        <f t="shared" ref="H9:H72" si="3">IF(D9=0,0,YEAR(D9))</f>
        <v>1967</v>
      </c>
      <c r="I9" s="109" t="str">
        <f t="shared" si="0"/>
        <v/>
      </c>
      <c r="J9" s="109" t="str">
        <f t="shared" si="1"/>
        <v/>
      </c>
      <c r="K9" s="109" t="str">
        <f t="shared" si="1"/>
        <v/>
      </c>
      <c r="L9" s="109" t="str">
        <f t="shared" si="1"/>
        <v/>
      </c>
      <c r="M9" s="109" t="str">
        <f t="shared" si="1"/>
        <v/>
      </c>
      <c r="N9" s="109" t="str">
        <f t="shared" si="1"/>
        <v/>
      </c>
      <c r="O9" s="109" t="str">
        <f t="shared" si="1"/>
        <v/>
      </c>
      <c r="P9" s="109">
        <f t="shared" si="1"/>
        <v>55</v>
      </c>
      <c r="Q9" s="109" t="str">
        <f t="shared" si="1"/>
        <v/>
      </c>
      <c r="R9" s="109" t="str">
        <f t="shared" si="1"/>
        <v/>
      </c>
      <c r="S9" s="109" t="str">
        <f t="shared" si="1"/>
        <v/>
      </c>
      <c r="T9" s="109" t="str">
        <f t="shared" si="1"/>
        <v/>
      </c>
      <c r="U9" s="109" t="str">
        <f t="shared" si="1"/>
        <v/>
      </c>
      <c r="V9" s="109" t="str">
        <f t="shared" si="1"/>
        <v/>
      </c>
      <c r="W9" s="109" t="str">
        <f t="shared" si="1"/>
        <v/>
      </c>
      <c r="X9" s="109" t="str">
        <f t="shared" si="1"/>
        <v/>
      </c>
      <c r="Y9" s="108"/>
    </row>
    <row r="10" spans="1:25" ht="15.75" customHeight="1" x14ac:dyDescent="0.2">
      <c r="A10" s="102">
        <f>IF(B10=0,0,MAX($A$8:A9)+1)</f>
        <v>3</v>
      </c>
      <c r="B10" s="104" t="str">
        <f>NSTonghop!F10</f>
        <v>Phạm Thị Ngọc Thủy</v>
      </c>
      <c r="C10" s="105" t="str">
        <f>NSTonghop!G10</f>
        <v>x</v>
      </c>
      <c r="D10" s="106" t="str">
        <f>IF(C10=0,NSTonghop!H10,NSTonghop!I10)</f>
        <v>16/10/1976</v>
      </c>
      <c r="E10" s="107" t="str">
        <f>NSTonghop!AL10</f>
        <v>01/06/1996</v>
      </c>
      <c r="F10" s="107" t="str">
        <f>NSTonghop!AN10</f>
        <v>không</v>
      </c>
      <c r="G10" s="88">
        <f t="shared" si="2"/>
        <v>10</v>
      </c>
      <c r="H10" s="108">
        <f t="shared" si="3"/>
        <v>1976</v>
      </c>
      <c r="I10" s="109" t="str">
        <f t="shared" si="0"/>
        <v/>
      </c>
      <c r="J10" s="109" t="str">
        <f t="shared" si="1"/>
        <v/>
      </c>
      <c r="K10" s="109" t="str">
        <f t="shared" si="1"/>
        <v/>
      </c>
      <c r="L10" s="109" t="str">
        <f t="shared" si="1"/>
        <v/>
      </c>
      <c r="M10" s="109" t="str">
        <f t="shared" si="1"/>
        <v/>
      </c>
      <c r="N10" s="109" t="str">
        <f t="shared" si="1"/>
        <v/>
      </c>
      <c r="O10" s="109" t="str">
        <f t="shared" si="1"/>
        <v/>
      </c>
      <c r="P10" s="109" t="str">
        <f t="shared" si="1"/>
        <v/>
      </c>
      <c r="Q10" s="109" t="str">
        <f t="shared" si="1"/>
        <v/>
      </c>
      <c r="R10" s="109" t="str">
        <f t="shared" si="1"/>
        <v/>
      </c>
      <c r="S10" s="109" t="str">
        <f t="shared" si="1"/>
        <v/>
      </c>
      <c r="T10" s="109" t="str">
        <f t="shared" si="1"/>
        <v/>
      </c>
      <c r="U10" s="109" t="str">
        <f t="shared" si="1"/>
        <v/>
      </c>
      <c r="V10" s="109" t="str">
        <f t="shared" si="1"/>
        <v/>
      </c>
      <c r="W10" s="109" t="str">
        <f t="shared" si="1"/>
        <v/>
      </c>
      <c r="X10" s="109" t="str">
        <f t="shared" si="1"/>
        <v/>
      </c>
      <c r="Y10" s="108"/>
    </row>
    <row r="11" spans="1:25" ht="15.75" hidden="1" customHeight="1" x14ac:dyDescent="0.2">
      <c r="A11" s="102">
        <f>IF(B11=0,0,MAX($A$8:A10)+1)</f>
        <v>4</v>
      </c>
      <c r="B11" s="104" t="str">
        <f>NSTonghop!F11</f>
        <v>Bùi Phú Lộc</v>
      </c>
      <c r="C11" s="105">
        <f>NSTonghop!G11</f>
        <v>0</v>
      </c>
      <c r="D11" s="106" t="str">
        <f>IF(C11=0,NSTonghop!H11,NSTonghop!I11)</f>
        <v>28/12/1988</v>
      </c>
      <c r="E11" s="107" t="str">
        <f>NSTonghop!AL11</f>
        <v>01/09/2014</v>
      </c>
      <c r="F11" s="107" t="str">
        <f>NSTonghop!AN11</f>
        <v>01/09/2015</v>
      </c>
      <c r="G11" s="88">
        <f t="shared" si="2"/>
        <v>12</v>
      </c>
      <c r="H11" s="108">
        <f t="shared" si="3"/>
        <v>1988</v>
      </c>
      <c r="I11" s="109" t="str">
        <f t="shared" si="0"/>
        <v/>
      </c>
      <c r="J11" s="109" t="str">
        <f t="shared" si="1"/>
        <v/>
      </c>
      <c r="K11" s="109" t="str">
        <f t="shared" si="1"/>
        <v/>
      </c>
      <c r="L11" s="109" t="str">
        <f t="shared" si="1"/>
        <v/>
      </c>
      <c r="M11" s="109" t="str">
        <f t="shared" si="1"/>
        <v/>
      </c>
      <c r="N11" s="109" t="str">
        <f t="shared" si="1"/>
        <v/>
      </c>
      <c r="O11" s="109" t="str">
        <f t="shared" si="1"/>
        <v/>
      </c>
      <c r="P11" s="109" t="str">
        <f t="shared" si="1"/>
        <v/>
      </c>
      <c r="Q11" s="109" t="str">
        <f t="shared" si="1"/>
        <v/>
      </c>
      <c r="R11" s="109" t="str">
        <f t="shared" si="1"/>
        <v/>
      </c>
      <c r="S11" s="109" t="str">
        <f t="shared" si="1"/>
        <v/>
      </c>
      <c r="T11" s="109" t="str">
        <f t="shared" si="1"/>
        <v/>
      </c>
      <c r="U11" s="109" t="str">
        <f t="shared" si="1"/>
        <v/>
      </c>
      <c r="V11" s="109" t="str">
        <f t="shared" si="1"/>
        <v/>
      </c>
      <c r="W11" s="109" t="str">
        <f t="shared" si="1"/>
        <v/>
      </c>
      <c r="X11" s="109" t="str">
        <f t="shared" si="1"/>
        <v/>
      </c>
      <c r="Y11" s="108"/>
    </row>
    <row r="12" spans="1:25" ht="15.75" customHeight="1" x14ac:dyDescent="0.2">
      <c r="A12" s="102">
        <f>IF(B12=0,0,MAX($A$8:A11)+1)</f>
        <v>5</v>
      </c>
      <c r="B12" s="104" t="str">
        <f>NSTonghop!F12</f>
        <v>Nguyễn Thị Định</v>
      </c>
      <c r="C12" s="105" t="str">
        <f>NSTonghop!G12</f>
        <v>x</v>
      </c>
      <c r="D12" s="106" t="str">
        <f>IF(C12=0,NSTonghop!H12,NSTonghop!I12)</f>
        <v>10/10/1984</v>
      </c>
      <c r="E12" s="107" t="str">
        <f>NSTonghop!AL12</f>
        <v>01/09/2008</v>
      </c>
      <c r="F12" s="107" t="str">
        <f>NSTonghop!AN12</f>
        <v>01/03/2009</v>
      </c>
      <c r="G12" s="88">
        <f t="shared" si="2"/>
        <v>10</v>
      </c>
      <c r="H12" s="108">
        <f t="shared" si="3"/>
        <v>1984</v>
      </c>
      <c r="I12" s="109" t="str">
        <f t="shared" si="0"/>
        <v/>
      </c>
      <c r="J12" s="109" t="str">
        <f t="shared" si="1"/>
        <v/>
      </c>
      <c r="K12" s="109" t="str">
        <f t="shared" si="1"/>
        <v/>
      </c>
      <c r="L12" s="109" t="str">
        <f t="shared" si="1"/>
        <v/>
      </c>
      <c r="M12" s="109" t="str">
        <f t="shared" si="1"/>
        <v/>
      </c>
      <c r="N12" s="109" t="str">
        <f t="shared" si="1"/>
        <v/>
      </c>
      <c r="O12" s="109" t="str">
        <f t="shared" si="1"/>
        <v/>
      </c>
      <c r="P12" s="109" t="str">
        <f t="shared" si="1"/>
        <v/>
      </c>
      <c r="Q12" s="109" t="str">
        <f t="shared" si="1"/>
        <v/>
      </c>
      <c r="R12" s="109" t="str">
        <f t="shared" si="1"/>
        <v/>
      </c>
      <c r="S12" s="109" t="str">
        <f t="shared" si="1"/>
        <v/>
      </c>
      <c r="T12" s="109" t="str">
        <f t="shared" si="1"/>
        <v/>
      </c>
      <c r="U12" s="109" t="str">
        <f t="shared" si="1"/>
        <v/>
      </c>
      <c r="V12" s="109" t="str">
        <f t="shared" si="1"/>
        <v/>
      </c>
      <c r="W12" s="109" t="str">
        <f t="shared" si="1"/>
        <v/>
      </c>
      <c r="X12" s="109" t="str">
        <f t="shared" si="1"/>
        <v/>
      </c>
      <c r="Y12" s="108"/>
    </row>
    <row r="13" spans="1:25" ht="15.75" hidden="1" customHeight="1" x14ac:dyDescent="0.2">
      <c r="A13" s="102">
        <f>IF(B13=0,0,MAX($A$8:A12)+1)</f>
        <v>6</v>
      </c>
      <c r="B13" s="104" t="str">
        <f>NSTonghop!F13</f>
        <v>Trương Ngọc Phương</v>
      </c>
      <c r="C13" s="105">
        <f>NSTonghop!G13</f>
        <v>0</v>
      </c>
      <c r="D13" s="106" t="str">
        <f>IF(C13=0,NSTonghop!H13,NSTonghop!I13)</f>
        <v>28/08/1966</v>
      </c>
      <c r="E13" s="107" t="str">
        <f>NSTonghop!AL13</f>
        <v>01/12/1992</v>
      </c>
      <c r="F13" s="107" t="str">
        <f>NSTonghop!AN13</f>
        <v>01/08/1996</v>
      </c>
      <c r="G13" s="88">
        <f t="shared" si="2"/>
        <v>8</v>
      </c>
      <c r="H13" s="108">
        <f t="shared" si="3"/>
        <v>1966</v>
      </c>
      <c r="I13" s="109" t="str">
        <f t="shared" si="0"/>
        <v/>
      </c>
      <c r="J13" s="109" t="str">
        <f t="shared" si="1"/>
        <v/>
      </c>
      <c r="K13" s="109" t="str">
        <f t="shared" si="1"/>
        <v/>
      </c>
      <c r="L13" s="109" t="str">
        <f t="shared" si="1"/>
        <v/>
      </c>
      <c r="M13" s="109" t="str">
        <f t="shared" si="1"/>
        <v/>
      </c>
      <c r="N13" s="109" t="str">
        <f t="shared" si="1"/>
        <v/>
      </c>
      <c r="O13" s="109" t="str">
        <f t="shared" si="1"/>
        <v/>
      </c>
      <c r="P13" s="109" t="str">
        <f t="shared" si="1"/>
        <v/>
      </c>
      <c r="Q13" s="109" t="str">
        <f t="shared" si="1"/>
        <v/>
      </c>
      <c r="R13" s="109" t="str">
        <f t="shared" si="1"/>
        <v/>
      </c>
      <c r="S13" s="109" t="str">
        <f t="shared" si="1"/>
        <v/>
      </c>
      <c r="T13" s="109">
        <f t="shared" si="1"/>
        <v>60</v>
      </c>
      <c r="U13" s="109" t="str">
        <f t="shared" si="1"/>
        <v/>
      </c>
      <c r="V13" s="109" t="str">
        <f t="shared" si="1"/>
        <v/>
      </c>
      <c r="W13" s="109" t="str">
        <f t="shared" si="1"/>
        <v/>
      </c>
      <c r="X13" s="109" t="str">
        <f t="shared" si="1"/>
        <v/>
      </c>
      <c r="Y13" s="108"/>
    </row>
    <row r="14" spans="1:25" ht="15.75" customHeight="1" x14ac:dyDescent="0.2">
      <c r="A14" s="102">
        <f>IF(B14=0,0,MAX($A$8:A13)+1)</f>
        <v>7</v>
      </c>
      <c r="B14" s="104" t="str">
        <f>NSTonghop!F14</f>
        <v>Lê Văn Thắng</v>
      </c>
      <c r="C14" s="105">
        <f>NSTonghop!G14</f>
        <v>0</v>
      </c>
      <c r="D14" s="106" t="str">
        <f>IF(C14=0,NSTonghop!H14,NSTonghop!I14)</f>
        <v>19/04/1969</v>
      </c>
      <c r="E14" s="107" t="str">
        <f>NSTonghop!AL14</f>
        <v>01/11/2005</v>
      </c>
      <c r="F14" s="107" t="str">
        <f>NSTonghop!AN14</f>
        <v>không</v>
      </c>
      <c r="G14" s="88">
        <f t="shared" si="2"/>
        <v>4</v>
      </c>
      <c r="H14" s="108">
        <f t="shared" si="3"/>
        <v>1969</v>
      </c>
      <c r="I14" s="109" t="str">
        <f t="shared" si="0"/>
        <v/>
      </c>
      <c r="J14" s="109" t="str">
        <f t="shared" si="1"/>
        <v/>
      </c>
      <c r="K14" s="109" t="str">
        <f t="shared" si="1"/>
        <v/>
      </c>
      <c r="L14" s="109" t="str">
        <f t="shared" si="1"/>
        <v/>
      </c>
      <c r="M14" s="109" t="str">
        <f t="shared" si="1"/>
        <v/>
      </c>
      <c r="N14" s="109" t="str">
        <f t="shared" si="1"/>
        <v/>
      </c>
      <c r="O14" s="109" t="str">
        <f t="shared" si="1"/>
        <v/>
      </c>
      <c r="P14" s="109" t="str">
        <f t="shared" si="1"/>
        <v/>
      </c>
      <c r="Q14" s="109" t="str">
        <f t="shared" si="1"/>
        <v/>
      </c>
      <c r="R14" s="109" t="str">
        <f t="shared" si="1"/>
        <v/>
      </c>
      <c r="S14" s="109" t="str">
        <f t="shared" si="1"/>
        <v/>
      </c>
      <c r="T14" s="109" t="str">
        <f t="shared" si="1"/>
        <v/>
      </c>
      <c r="U14" s="109" t="str">
        <f t="shared" si="1"/>
        <v/>
      </c>
      <c r="V14" s="109" t="str">
        <f t="shared" si="1"/>
        <v/>
      </c>
      <c r="W14" s="109">
        <f t="shared" si="1"/>
        <v>60</v>
      </c>
      <c r="X14" s="109" t="str">
        <f t="shared" si="1"/>
        <v/>
      </c>
      <c r="Y14" s="108"/>
    </row>
    <row r="15" spans="1:25" ht="15.75" customHeight="1" x14ac:dyDescent="0.2">
      <c r="A15" s="102">
        <f>IF(B15=0,0,MAX($A$8:A14)+1)</f>
        <v>8</v>
      </c>
      <c r="B15" s="104" t="str">
        <f>NSTonghop!F15</f>
        <v>Nguyễn Thanh Hùng</v>
      </c>
      <c r="C15" s="105">
        <f>NSTonghop!G15</f>
        <v>0</v>
      </c>
      <c r="D15" s="106" t="str">
        <f>IF(C15=0,NSTonghop!H15,NSTonghop!I15)</f>
        <v>29/12/1967</v>
      </c>
      <c r="E15" s="107" t="str">
        <f>NSTonghop!AL15</f>
        <v>10/09/1987</v>
      </c>
      <c r="F15" s="107" t="str">
        <f>NSTonghop!AN15</f>
        <v>01/01/1990</v>
      </c>
      <c r="G15" s="88">
        <f t="shared" si="2"/>
        <v>12</v>
      </c>
      <c r="H15" s="108">
        <f t="shared" si="3"/>
        <v>1967</v>
      </c>
      <c r="I15" s="109" t="str">
        <f t="shared" si="0"/>
        <v/>
      </c>
      <c r="J15" s="109" t="str">
        <f t="shared" si="1"/>
        <v/>
      </c>
      <c r="K15" s="109" t="str">
        <f t="shared" si="1"/>
        <v/>
      </c>
      <c r="L15" s="109" t="str">
        <f t="shared" si="1"/>
        <v/>
      </c>
      <c r="M15" s="109" t="str">
        <f t="shared" si="1"/>
        <v/>
      </c>
      <c r="N15" s="109" t="str">
        <f t="shared" si="1"/>
        <v/>
      </c>
      <c r="O15" s="109" t="str">
        <f t="shared" si="1"/>
        <v/>
      </c>
      <c r="P15" s="109" t="str">
        <f t="shared" si="1"/>
        <v/>
      </c>
      <c r="Q15" s="109" t="str">
        <f t="shared" si="1"/>
        <v/>
      </c>
      <c r="R15" s="109" t="str">
        <f t="shared" si="1"/>
        <v/>
      </c>
      <c r="S15" s="109" t="str">
        <f t="shared" si="1"/>
        <v/>
      </c>
      <c r="T15" s="109" t="str">
        <f t="shared" si="1"/>
        <v/>
      </c>
      <c r="U15" s="109">
        <f t="shared" si="1"/>
        <v>60</v>
      </c>
      <c r="V15" s="109" t="str">
        <f t="shared" si="1"/>
        <v/>
      </c>
      <c r="W15" s="109" t="str">
        <f t="shared" si="1"/>
        <v/>
      </c>
      <c r="X15" s="109" t="str">
        <f t="shared" si="1"/>
        <v/>
      </c>
      <c r="Y15" s="108"/>
    </row>
    <row r="16" spans="1:25" ht="15.75" customHeight="1" x14ac:dyDescent="0.2">
      <c r="A16" s="102">
        <f>IF(B16=0,0,MAX($A$8:A15)+1)</f>
        <v>9</v>
      </c>
      <c r="B16" s="104" t="str">
        <f>NSTonghop!F16</f>
        <v>Võ Minh Triết</v>
      </c>
      <c r="C16" s="105">
        <f>NSTonghop!G16</f>
        <v>0</v>
      </c>
      <c r="D16" s="106" t="str">
        <f>IF(C16=0,NSTonghop!H16,NSTonghop!I16)</f>
        <v>08/07/1968</v>
      </c>
      <c r="E16" s="107" t="str">
        <f>NSTonghop!AL16</f>
        <v>05/09/1988</v>
      </c>
      <c r="F16" s="107" t="str">
        <f>NSTonghop!AN16</f>
        <v>01/10/1991</v>
      </c>
      <c r="G16" s="88">
        <f t="shared" si="2"/>
        <v>7</v>
      </c>
      <c r="H16" s="108">
        <f t="shared" si="3"/>
        <v>1968</v>
      </c>
      <c r="I16" s="109" t="str">
        <f t="shared" si="0"/>
        <v/>
      </c>
      <c r="J16" s="109" t="str">
        <f t="shared" si="1"/>
        <v/>
      </c>
      <c r="K16" s="109" t="str">
        <f t="shared" si="1"/>
        <v/>
      </c>
      <c r="L16" s="109" t="str">
        <f t="shared" si="1"/>
        <v/>
      </c>
      <c r="M16" s="109" t="str">
        <f t="shared" si="1"/>
        <v/>
      </c>
      <c r="N16" s="109" t="str">
        <f t="shared" si="1"/>
        <v/>
      </c>
      <c r="O16" s="109" t="str">
        <f t="shared" si="1"/>
        <v/>
      </c>
      <c r="P16" s="109" t="str">
        <f t="shared" si="1"/>
        <v/>
      </c>
      <c r="Q16" s="109" t="str">
        <f t="shared" si="1"/>
        <v/>
      </c>
      <c r="R16" s="109" t="str">
        <f t="shared" si="1"/>
        <v/>
      </c>
      <c r="S16" s="109" t="str">
        <f t="shared" si="1"/>
        <v/>
      </c>
      <c r="T16" s="109" t="str">
        <f t="shared" si="1"/>
        <v/>
      </c>
      <c r="U16" s="109" t="str">
        <f t="shared" si="1"/>
        <v/>
      </c>
      <c r="V16" s="109">
        <f t="shared" si="1"/>
        <v>60</v>
      </c>
      <c r="W16" s="109" t="str">
        <f t="shared" si="1"/>
        <v/>
      </c>
      <c r="X16" s="109" t="str">
        <f t="shared" si="1"/>
        <v/>
      </c>
      <c r="Y16" s="108"/>
    </row>
    <row r="17" spans="1:25" ht="15.75" customHeight="1" x14ac:dyDescent="0.2">
      <c r="A17" s="102">
        <f>IF(B17=0,0,MAX($A$8:A16)+1)</f>
        <v>10</v>
      </c>
      <c r="B17" s="104" t="str">
        <f>NSTonghop!F17</f>
        <v>Dương Thanh Phong</v>
      </c>
      <c r="C17" s="105">
        <f>NSTonghop!G17</f>
        <v>0</v>
      </c>
      <c r="D17" s="106" t="str">
        <f>IF(C17=0,NSTonghop!H17,NSTonghop!I17)</f>
        <v>01/09/1977</v>
      </c>
      <c r="E17" s="107" t="str">
        <f>NSTonghop!AL17</f>
        <v>01/09/1997</v>
      </c>
      <c r="F17" s="107" t="str">
        <f>NSTonghop!AN17</f>
        <v>01/04/2000</v>
      </c>
      <c r="G17" s="88">
        <f t="shared" si="2"/>
        <v>9</v>
      </c>
      <c r="H17" s="108">
        <f t="shared" si="3"/>
        <v>1977</v>
      </c>
      <c r="I17" s="109" t="str">
        <f t="shared" si="0"/>
        <v/>
      </c>
      <c r="J17" s="109" t="str">
        <f t="shared" si="1"/>
        <v/>
      </c>
      <c r="K17" s="109" t="str">
        <f t="shared" si="1"/>
        <v/>
      </c>
      <c r="L17" s="109" t="str">
        <f t="shared" si="1"/>
        <v/>
      </c>
      <c r="M17" s="109" t="str">
        <f t="shared" si="1"/>
        <v/>
      </c>
      <c r="N17" s="109" t="str">
        <f t="shared" si="1"/>
        <v/>
      </c>
      <c r="O17" s="109" t="str">
        <f t="shared" si="1"/>
        <v/>
      </c>
      <c r="P17" s="109" t="str">
        <f t="shared" si="1"/>
        <v/>
      </c>
      <c r="Q17" s="109" t="str">
        <f t="shared" si="1"/>
        <v/>
      </c>
      <c r="R17" s="109" t="str">
        <f t="shared" si="1"/>
        <v/>
      </c>
      <c r="S17" s="109" t="str">
        <f t="shared" si="1"/>
        <v/>
      </c>
      <c r="T17" s="109" t="str">
        <f t="shared" si="1"/>
        <v/>
      </c>
      <c r="U17" s="109" t="str">
        <f t="shared" si="1"/>
        <v/>
      </c>
      <c r="V17" s="109" t="str">
        <f t="shared" si="1"/>
        <v/>
      </c>
      <c r="W17" s="109" t="str">
        <f t="shared" si="1"/>
        <v/>
      </c>
      <c r="X17" s="109" t="str">
        <f t="shared" si="1"/>
        <v/>
      </c>
      <c r="Y17" s="108"/>
    </row>
    <row r="18" spans="1:25" ht="15.75" customHeight="1" x14ac:dyDescent="0.2">
      <c r="A18" s="102">
        <f>IF(B18=0,0,MAX($A$8:A17)+1)</f>
        <v>11</v>
      </c>
      <c r="B18" s="104" t="str">
        <f>NSTonghop!F18</f>
        <v>Nguyễn Thái Bình</v>
      </c>
      <c r="C18" s="105">
        <f>NSTonghop!G18</f>
        <v>0</v>
      </c>
      <c r="D18" s="106" t="str">
        <f>IF(C18=0,NSTonghop!H18,NSTonghop!I18)</f>
        <v>17/06/1979</v>
      </c>
      <c r="E18" s="107" t="str">
        <f>NSTonghop!AL18</f>
        <v>01/09/2001</v>
      </c>
      <c r="F18" s="107" t="str">
        <f>NSTonghop!AN18</f>
        <v>01/03/2002</v>
      </c>
      <c r="G18" s="88">
        <f t="shared" si="2"/>
        <v>6</v>
      </c>
      <c r="H18" s="108">
        <f t="shared" si="3"/>
        <v>1979</v>
      </c>
      <c r="I18" s="109" t="str">
        <f t="shared" si="0"/>
        <v/>
      </c>
      <c r="J18" s="109" t="str">
        <f t="shared" ref="J18:X27" si="4">IF(OR(AND($C18="x",J$7-$H18=55),AND($C18=0, J$7-$H18=60)),J$7-$H18,"")</f>
        <v/>
      </c>
      <c r="K18" s="109" t="str">
        <f t="shared" si="4"/>
        <v/>
      </c>
      <c r="L18" s="109" t="str">
        <f t="shared" si="4"/>
        <v/>
      </c>
      <c r="M18" s="109" t="str">
        <f t="shared" si="4"/>
        <v/>
      </c>
      <c r="N18" s="109" t="str">
        <f t="shared" si="4"/>
        <v/>
      </c>
      <c r="O18" s="109" t="str">
        <f t="shared" si="4"/>
        <v/>
      </c>
      <c r="P18" s="109" t="str">
        <f t="shared" si="4"/>
        <v/>
      </c>
      <c r="Q18" s="109" t="str">
        <f t="shared" si="4"/>
        <v/>
      </c>
      <c r="R18" s="109" t="str">
        <f t="shared" si="4"/>
        <v/>
      </c>
      <c r="S18" s="109" t="str">
        <f t="shared" si="4"/>
        <v/>
      </c>
      <c r="T18" s="109" t="str">
        <f t="shared" si="4"/>
        <v/>
      </c>
      <c r="U18" s="109" t="str">
        <f t="shared" si="4"/>
        <v/>
      </c>
      <c r="V18" s="109" t="str">
        <f t="shared" si="4"/>
        <v/>
      </c>
      <c r="W18" s="109" t="str">
        <f t="shared" si="4"/>
        <v/>
      </c>
      <c r="X18" s="109" t="str">
        <f t="shared" si="4"/>
        <v/>
      </c>
      <c r="Y18" s="108"/>
    </row>
    <row r="19" spans="1:25" ht="15.75" customHeight="1" x14ac:dyDescent="0.2">
      <c r="A19" s="102">
        <f>IF(B19=0,0,MAX($A$8:A18)+1)</f>
        <v>12</v>
      </c>
      <c r="B19" s="104" t="str">
        <f>NSTonghop!F19</f>
        <v>Bùi Thông Thái</v>
      </c>
      <c r="C19" s="105">
        <f>NSTonghop!G19</f>
        <v>0</v>
      </c>
      <c r="D19" s="106" t="str">
        <f>IF(C19=0,NSTonghop!H19,NSTonghop!I19)</f>
        <v>22/07/1965</v>
      </c>
      <c r="E19" s="107" t="str">
        <f>NSTonghop!AL19</f>
        <v>09/09/1985</v>
      </c>
      <c r="F19" s="107" t="str">
        <f>NSTonghop!AN19</f>
        <v>01/03/1989</v>
      </c>
      <c r="G19" s="88">
        <f t="shared" si="2"/>
        <v>7</v>
      </c>
      <c r="H19" s="108">
        <f t="shared" si="3"/>
        <v>1965</v>
      </c>
      <c r="I19" s="109" t="str">
        <f t="shared" si="0"/>
        <v/>
      </c>
      <c r="J19" s="109" t="str">
        <f t="shared" si="4"/>
        <v/>
      </c>
      <c r="K19" s="109" t="str">
        <f t="shared" si="4"/>
        <v/>
      </c>
      <c r="L19" s="109" t="str">
        <f t="shared" si="4"/>
        <v/>
      </c>
      <c r="M19" s="109" t="str">
        <f t="shared" si="4"/>
        <v/>
      </c>
      <c r="N19" s="109" t="str">
        <f t="shared" si="4"/>
        <v/>
      </c>
      <c r="O19" s="109" t="str">
        <f t="shared" si="4"/>
        <v/>
      </c>
      <c r="P19" s="109" t="str">
        <f t="shared" si="4"/>
        <v/>
      </c>
      <c r="Q19" s="109" t="str">
        <f t="shared" si="4"/>
        <v/>
      </c>
      <c r="R19" s="109" t="str">
        <f t="shared" si="4"/>
        <v/>
      </c>
      <c r="S19" s="109">
        <f t="shared" si="4"/>
        <v>60</v>
      </c>
      <c r="T19" s="109" t="str">
        <f t="shared" si="4"/>
        <v/>
      </c>
      <c r="U19" s="109" t="str">
        <f t="shared" si="4"/>
        <v/>
      </c>
      <c r="V19" s="109" t="str">
        <f t="shared" si="4"/>
        <v/>
      </c>
      <c r="W19" s="109" t="str">
        <f t="shared" si="4"/>
        <v/>
      </c>
      <c r="X19" s="109" t="str">
        <f t="shared" si="4"/>
        <v/>
      </c>
      <c r="Y19" s="108"/>
    </row>
    <row r="20" spans="1:25" ht="15.75" customHeight="1" x14ac:dyDescent="0.2">
      <c r="A20" s="102">
        <f>IF(B20=0,0,MAX($A$8:A19)+1)</f>
        <v>13</v>
      </c>
      <c r="B20" s="104" t="str">
        <f>NSTonghop!F20</f>
        <v>Đỗ Viết Hùng</v>
      </c>
      <c r="C20" s="105">
        <f>NSTonghop!G20</f>
        <v>0</v>
      </c>
      <c r="D20" s="106" t="str">
        <f>IF(C20=0,NSTonghop!H20,NSTonghop!I20)</f>
        <v>19/02/1975</v>
      </c>
      <c r="E20" s="107" t="str">
        <f>NSTonghop!AL20</f>
        <v>01/09/1998</v>
      </c>
      <c r="F20" s="107" t="str">
        <f>NSTonghop!AN20</f>
        <v>01/03/1999</v>
      </c>
      <c r="G20" s="88">
        <f t="shared" si="2"/>
        <v>2</v>
      </c>
      <c r="H20" s="108">
        <f t="shared" si="3"/>
        <v>1975</v>
      </c>
      <c r="I20" s="109" t="str">
        <f t="shared" si="0"/>
        <v/>
      </c>
      <c r="J20" s="109" t="str">
        <f t="shared" si="4"/>
        <v/>
      </c>
      <c r="K20" s="109" t="str">
        <f t="shared" si="4"/>
        <v/>
      </c>
      <c r="L20" s="109" t="str">
        <f t="shared" si="4"/>
        <v/>
      </c>
      <c r="M20" s="109" t="str">
        <f t="shared" si="4"/>
        <v/>
      </c>
      <c r="N20" s="109" t="str">
        <f t="shared" si="4"/>
        <v/>
      </c>
      <c r="O20" s="109" t="str">
        <f t="shared" si="4"/>
        <v/>
      </c>
      <c r="P20" s="109" t="str">
        <f t="shared" si="4"/>
        <v/>
      </c>
      <c r="Q20" s="109" t="str">
        <f t="shared" si="4"/>
        <v/>
      </c>
      <c r="R20" s="109" t="str">
        <f t="shared" si="4"/>
        <v/>
      </c>
      <c r="S20" s="109" t="str">
        <f t="shared" si="4"/>
        <v/>
      </c>
      <c r="T20" s="109" t="str">
        <f t="shared" si="4"/>
        <v/>
      </c>
      <c r="U20" s="109" t="str">
        <f t="shared" si="4"/>
        <v/>
      </c>
      <c r="V20" s="109" t="str">
        <f t="shared" si="4"/>
        <v/>
      </c>
      <c r="W20" s="109" t="str">
        <f t="shared" si="4"/>
        <v/>
      </c>
      <c r="X20" s="109" t="str">
        <f t="shared" si="4"/>
        <v/>
      </c>
      <c r="Y20" s="108"/>
    </row>
    <row r="21" spans="1:25" ht="15.75" customHeight="1" x14ac:dyDescent="0.2">
      <c r="A21" s="102">
        <f>IF(B21=0,0,MAX($A$8:A20)+1)</f>
        <v>14</v>
      </c>
      <c r="B21" s="104" t="str">
        <f>NSTonghop!F21</f>
        <v>Phạm Thị Thanh Loan</v>
      </c>
      <c r="C21" s="105" t="str">
        <f>NSTonghop!G21</f>
        <v>x</v>
      </c>
      <c r="D21" s="106" t="str">
        <f>IF(C21=0,NSTonghop!H21,NSTonghop!I21)</f>
        <v>10/11/1983</v>
      </c>
      <c r="E21" s="107" t="str">
        <f>NSTonghop!AL21</f>
        <v>01/09/2005</v>
      </c>
      <c r="F21" s="107" t="str">
        <f>NSTonghop!AN21</f>
        <v>01/09/2006</v>
      </c>
      <c r="G21" s="88">
        <f t="shared" si="2"/>
        <v>11</v>
      </c>
      <c r="H21" s="108">
        <f t="shared" si="3"/>
        <v>1983</v>
      </c>
      <c r="I21" s="109" t="str">
        <f t="shared" si="0"/>
        <v/>
      </c>
      <c r="J21" s="109" t="str">
        <f t="shared" si="4"/>
        <v/>
      </c>
      <c r="K21" s="109" t="str">
        <f t="shared" si="4"/>
        <v/>
      </c>
      <c r="L21" s="109" t="str">
        <f t="shared" si="4"/>
        <v/>
      </c>
      <c r="M21" s="109" t="str">
        <f t="shared" si="4"/>
        <v/>
      </c>
      <c r="N21" s="109" t="str">
        <f t="shared" si="4"/>
        <v/>
      </c>
      <c r="O21" s="109" t="str">
        <f t="shared" si="4"/>
        <v/>
      </c>
      <c r="P21" s="109" t="str">
        <f t="shared" si="4"/>
        <v/>
      </c>
      <c r="Q21" s="109" t="str">
        <f t="shared" si="4"/>
        <v/>
      </c>
      <c r="R21" s="109" t="str">
        <f t="shared" si="4"/>
        <v/>
      </c>
      <c r="S21" s="109" t="str">
        <f t="shared" si="4"/>
        <v/>
      </c>
      <c r="T21" s="109" t="str">
        <f t="shared" si="4"/>
        <v/>
      </c>
      <c r="U21" s="109" t="str">
        <f t="shared" si="4"/>
        <v/>
      </c>
      <c r="V21" s="109" t="str">
        <f t="shared" si="4"/>
        <v/>
      </c>
      <c r="W21" s="109" t="str">
        <f t="shared" si="4"/>
        <v/>
      </c>
      <c r="X21" s="109" t="str">
        <f t="shared" si="4"/>
        <v/>
      </c>
      <c r="Y21" s="108"/>
    </row>
    <row r="22" spans="1:25" ht="15.75" customHeight="1" x14ac:dyDescent="0.2">
      <c r="A22" s="102">
        <f>IF(B22=0,0,MAX($A$8:A21)+1)</f>
        <v>15</v>
      </c>
      <c r="B22" s="104" t="str">
        <f>NSTonghop!F22</f>
        <v>Huỳnh Thanh Sơn</v>
      </c>
      <c r="C22" s="105">
        <f>NSTonghop!G22</f>
        <v>0</v>
      </c>
      <c r="D22" s="106" t="str">
        <f>IF(C22=0,NSTonghop!H22,NSTonghop!I22)</f>
        <v>12/04/1982</v>
      </c>
      <c r="E22" s="107" t="str">
        <f>NSTonghop!AL22</f>
        <v>01/09/2005</v>
      </c>
      <c r="F22" s="107" t="str">
        <f>NSTonghop!AN22</f>
        <v>01/09/2006</v>
      </c>
      <c r="G22" s="88">
        <f t="shared" si="2"/>
        <v>4</v>
      </c>
      <c r="H22" s="108">
        <f t="shared" si="3"/>
        <v>1982</v>
      </c>
      <c r="I22" s="109" t="str">
        <f t="shared" si="0"/>
        <v/>
      </c>
      <c r="J22" s="109" t="str">
        <f t="shared" si="4"/>
        <v/>
      </c>
      <c r="K22" s="109" t="str">
        <f t="shared" si="4"/>
        <v/>
      </c>
      <c r="L22" s="109" t="str">
        <f t="shared" si="4"/>
        <v/>
      </c>
      <c r="M22" s="109" t="str">
        <f t="shared" si="4"/>
        <v/>
      </c>
      <c r="N22" s="109" t="str">
        <f t="shared" si="4"/>
        <v/>
      </c>
      <c r="O22" s="109" t="str">
        <f t="shared" si="4"/>
        <v/>
      </c>
      <c r="P22" s="109" t="str">
        <f t="shared" si="4"/>
        <v/>
      </c>
      <c r="Q22" s="109" t="str">
        <f t="shared" si="4"/>
        <v/>
      </c>
      <c r="R22" s="109" t="str">
        <f t="shared" si="4"/>
        <v/>
      </c>
      <c r="S22" s="109" t="str">
        <f t="shared" si="4"/>
        <v/>
      </c>
      <c r="T22" s="109" t="str">
        <f t="shared" si="4"/>
        <v/>
      </c>
      <c r="U22" s="109" t="str">
        <f t="shared" si="4"/>
        <v/>
      </c>
      <c r="V22" s="109" t="str">
        <f t="shared" si="4"/>
        <v/>
      </c>
      <c r="W22" s="109" t="str">
        <f t="shared" si="4"/>
        <v/>
      </c>
      <c r="X22" s="109" t="str">
        <f t="shared" si="4"/>
        <v/>
      </c>
      <c r="Y22" s="108"/>
    </row>
    <row r="23" spans="1:25" ht="15.75" customHeight="1" x14ac:dyDescent="0.2">
      <c r="A23" s="102">
        <f>IF(B23=0,0,MAX($A$8:A22)+1)</f>
        <v>16</v>
      </c>
      <c r="B23" s="104" t="str">
        <f>NSTonghop!F23</f>
        <v>Nguyễn Thị Phương</v>
      </c>
      <c r="C23" s="105" t="str">
        <f>NSTonghop!G23</f>
        <v>x</v>
      </c>
      <c r="D23" s="106" t="str">
        <f>IF(C23=0,NSTonghop!H23,NSTonghop!I23)</f>
        <v>15/07/1981</v>
      </c>
      <c r="E23" s="107" t="str">
        <f>NSTonghop!AL23</f>
        <v>01/09/2006</v>
      </c>
      <c r="F23" s="107" t="str">
        <f>NSTonghop!AN23</f>
        <v>01/09/2007</v>
      </c>
      <c r="G23" s="88">
        <f t="shared" si="2"/>
        <v>7</v>
      </c>
      <c r="H23" s="108">
        <f t="shared" si="3"/>
        <v>1981</v>
      </c>
      <c r="I23" s="109" t="str">
        <f t="shared" si="0"/>
        <v/>
      </c>
      <c r="J23" s="109" t="str">
        <f t="shared" si="4"/>
        <v/>
      </c>
      <c r="K23" s="109" t="str">
        <f t="shared" si="4"/>
        <v/>
      </c>
      <c r="L23" s="109" t="str">
        <f t="shared" si="4"/>
        <v/>
      </c>
      <c r="M23" s="109" t="str">
        <f t="shared" si="4"/>
        <v/>
      </c>
      <c r="N23" s="109" t="str">
        <f t="shared" si="4"/>
        <v/>
      </c>
      <c r="O23" s="109" t="str">
        <f t="shared" si="4"/>
        <v/>
      </c>
      <c r="P23" s="109" t="str">
        <f t="shared" si="4"/>
        <v/>
      </c>
      <c r="Q23" s="109" t="str">
        <f t="shared" si="4"/>
        <v/>
      </c>
      <c r="R23" s="109" t="str">
        <f t="shared" si="4"/>
        <v/>
      </c>
      <c r="S23" s="109" t="str">
        <f t="shared" si="4"/>
        <v/>
      </c>
      <c r="T23" s="109" t="str">
        <f t="shared" si="4"/>
        <v/>
      </c>
      <c r="U23" s="109" t="str">
        <f t="shared" si="4"/>
        <v/>
      </c>
      <c r="V23" s="109" t="str">
        <f t="shared" si="4"/>
        <v/>
      </c>
      <c r="W23" s="109" t="str">
        <f t="shared" si="4"/>
        <v/>
      </c>
      <c r="X23" s="109" t="str">
        <f t="shared" si="4"/>
        <v/>
      </c>
      <c r="Y23" s="108"/>
    </row>
    <row r="24" spans="1:25" ht="15.75" customHeight="1" x14ac:dyDescent="0.2">
      <c r="A24" s="102">
        <f>IF(B24=0,0,MAX($A$8:A23)+1)</f>
        <v>17</v>
      </c>
      <c r="B24" s="104" t="str">
        <f>NSTonghop!F24</f>
        <v>Thiều Thị Kim Tuyến</v>
      </c>
      <c r="C24" s="105" t="str">
        <f>NSTonghop!G24</f>
        <v>x</v>
      </c>
      <c r="D24" s="106" t="str">
        <f>IF(C24=0,NSTonghop!H24,NSTonghop!I24)</f>
        <v>04/09/1983</v>
      </c>
      <c r="E24" s="107" t="str">
        <f>NSTonghop!AL24</f>
        <v>01/09/2004</v>
      </c>
      <c r="F24" s="107" t="str">
        <f>NSTonghop!AN24</f>
        <v>01/03/2005</v>
      </c>
      <c r="G24" s="88">
        <f t="shared" si="2"/>
        <v>9</v>
      </c>
      <c r="H24" s="108">
        <f t="shared" si="3"/>
        <v>1983</v>
      </c>
      <c r="I24" s="109" t="str">
        <f t="shared" si="0"/>
        <v/>
      </c>
      <c r="J24" s="109" t="str">
        <f t="shared" si="4"/>
        <v/>
      </c>
      <c r="K24" s="109" t="str">
        <f t="shared" si="4"/>
        <v/>
      </c>
      <c r="L24" s="109" t="str">
        <f t="shared" si="4"/>
        <v/>
      </c>
      <c r="M24" s="109" t="str">
        <f t="shared" si="4"/>
        <v/>
      </c>
      <c r="N24" s="109" t="str">
        <f t="shared" si="4"/>
        <v/>
      </c>
      <c r="O24" s="109" t="str">
        <f t="shared" si="4"/>
        <v/>
      </c>
      <c r="P24" s="109" t="str">
        <f t="shared" si="4"/>
        <v/>
      </c>
      <c r="Q24" s="109" t="str">
        <f t="shared" si="4"/>
        <v/>
      </c>
      <c r="R24" s="109" t="str">
        <f t="shared" si="4"/>
        <v/>
      </c>
      <c r="S24" s="109" t="str">
        <f t="shared" si="4"/>
        <v/>
      </c>
      <c r="T24" s="109" t="str">
        <f t="shared" si="4"/>
        <v/>
      </c>
      <c r="U24" s="109" t="str">
        <f t="shared" si="4"/>
        <v/>
      </c>
      <c r="V24" s="109" t="str">
        <f t="shared" si="4"/>
        <v/>
      </c>
      <c r="W24" s="109" t="str">
        <f t="shared" si="4"/>
        <v/>
      </c>
      <c r="X24" s="109" t="str">
        <f t="shared" si="4"/>
        <v/>
      </c>
      <c r="Y24" s="108"/>
    </row>
    <row r="25" spans="1:25" ht="15.75" customHeight="1" x14ac:dyDescent="0.2">
      <c r="A25" s="102">
        <f>IF(B25=0,0,MAX($A$8:A24)+1)</f>
        <v>18</v>
      </c>
      <c r="B25" s="104" t="str">
        <f>NSTonghop!F25</f>
        <v>Nguyễn Thị Kim Cúc</v>
      </c>
      <c r="C25" s="105" t="str">
        <f>NSTonghop!G25</f>
        <v>x</v>
      </c>
      <c r="D25" s="106" t="str">
        <f>IF(C25=0,NSTonghop!H25,NSTonghop!I25)</f>
        <v>09/02/1977</v>
      </c>
      <c r="E25" s="107" t="str">
        <f>NSTonghop!AL25</f>
        <v>01/9/1999</v>
      </c>
      <c r="F25" s="107" t="str">
        <f>NSTonghop!AN25</f>
        <v>01/4/2000</v>
      </c>
      <c r="G25" s="88">
        <f t="shared" si="2"/>
        <v>2</v>
      </c>
      <c r="H25" s="108">
        <f t="shared" si="3"/>
        <v>1977</v>
      </c>
      <c r="I25" s="109" t="str">
        <f t="shared" si="0"/>
        <v/>
      </c>
      <c r="J25" s="109" t="str">
        <f t="shared" si="4"/>
        <v/>
      </c>
      <c r="K25" s="109" t="str">
        <f t="shared" si="4"/>
        <v/>
      </c>
      <c r="L25" s="109" t="str">
        <f t="shared" si="4"/>
        <v/>
      </c>
      <c r="M25" s="109" t="str">
        <f t="shared" si="4"/>
        <v/>
      </c>
      <c r="N25" s="109" t="str">
        <f t="shared" si="4"/>
        <v/>
      </c>
      <c r="O25" s="109" t="str">
        <f t="shared" si="4"/>
        <v/>
      </c>
      <c r="P25" s="109" t="str">
        <f t="shared" si="4"/>
        <v/>
      </c>
      <c r="Q25" s="109" t="str">
        <f t="shared" si="4"/>
        <v/>
      </c>
      <c r="R25" s="109" t="str">
        <f t="shared" si="4"/>
        <v/>
      </c>
      <c r="S25" s="109" t="str">
        <f t="shared" si="4"/>
        <v/>
      </c>
      <c r="T25" s="109" t="str">
        <f t="shared" si="4"/>
        <v/>
      </c>
      <c r="U25" s="109" t="str">
        <f t="shared" si="4"/>
        <v/>
      </c>
      <c r="V25" s="109" t="str">
        <f t="shared" si="4"/>
        <v/>
      </c>
      <c r="W25" s="109" t="str">
        <f t="shared" si="4"/>
        <v/>
      </c>
      <c r="X25" s="109" t="str">
        <f t="shared" si="4"/>
        <v/>
      </c>
      <c r="Y25" s="108"/>
    </row>
    <row r="26" spans="1:25" ht="15.75" customHeight="1" x14ac:dyDescent="0.2">
      <c r="A26" s="102">
        <f>IF(B26=0,0,MAX($A$8:A25)+1)</f>
        <v>19</v>
      </c>
      <c r="B26" s="104" t="str">
        <f>NSTonghop!F26</f>
        <v>Nguyễn Văn Hội</v>
      </c>
      <c r="C26" s="105">
        <f>NSTonghop!G26</f>
        <v>0</v>
      </c>
      <c r="D26" s="106" t="str">
        <f>IF(C26=0,NSTonghop!H26,NSTonghop!I26)</f>
        <v>15/01/1965</v>
      </c>
      <c r="E26" s="107" t="str">
        <f>NSTonghop!AL26</f>
        <v>17/10/1984</v>
      </c>
      <c r="F26" s="107" t="str">
        <f>NSTonghop!AN26</f>
        <v>12/11/1986</v>
      </c>
      <c r="G26" s="88">
        <f t="shared" si="2"/>
        <v>1</v>
      </c>
      <c r="H26" s="108">
        <f t="shared" si="3"/>
        <v>1965</v>
      </c>
      <c r="I26" s="109" t="str">
        <f t="shared" si="0"/>
        <v/>
      </c>
      <c r="J26" s="109" t="str">
        <f t="shared" si="4"/>
        <v/>
      </c>
      <c r="K26" s="109" t="str">
        <f t="shared" si="4"/>
        <v/>
      </c>
      <c r="L26" s="109" t="str">
        <f t="shared" si="4"/>
        <v/>
      </c>
      <c r="M26" s="109" t="str">
        <f t="shared" si="4"/>
        <v/>
      </c>
      <c r="N26" s="109" t="str">
        <f t="shared" si="4"/>
        <v/>
      </c>
      <c r="O26" s="109" t="str">
        <f t="shared" si="4"/>
        <v/>
      </c>
      <c r="P26" s="109" t="str">
        <f t="shared" si="4"/>
        <v/>
      </c>
      <c r="Q26" s="109" t="str">
        <f t="shared" si="4"/>
        <v/>
      </c>
      <c r="R26" s="109" t="str">
        <f t="shared" si="4"/>
        <v/>
      </c>
      <c r="S26" s="109">
        <f t="shared" si="4"/>
        <v>60</v>
      </c>
      <c r="T26" s="109" t="str">
        <f t="shared" si="4"/>
        <v/>
      </c>
      <c r="U26" s="109" t="str">
        <f t="shared" si="4"/>
        <v/>
      </c>
      <c r="V26" s="109" t="str">
        <f t="shared" si="4"/>
        <v/>
      </c>
      <c r="W26" s="109" t="str">
        <f t="shared" si="4"/>
        <v/>
      </c>
      <c r="X26" s="109" t="str">
        <f t="shared" si="4"/>
        <v/>
      </c>
      <c r="Y26" s="108"/>
    </row>
    <row r="27" spans="1:25" ht="15.75" customHeight="1" x14ac:dyDescent="0.2">
      <c r="A27" s="102">
        <f>IF(B27=0,0,MAX($A$8:A26)+1)</f>
        <v>20</v>
      </c>
      <c r="B27" s="104" t="str">
        <f>NSTonghop!F27</f>
        <v>Nguyễn Hoàng Tuấn</v>
      </c>
      <c r="C27" s="105">
        <f>NSTonghop!G27</f>
        <v>0</v>
      </c>
      <c r="D27" s="106" t="str">
        <f>IF(C27=0,NSTonghop!H27,NSTonghop!I27)</f>
        <v>03/06/1964</v>
      </c>
      <c r="E27" s="107" t="str">
        <f>NSTonghop!AL27</f>
        <v>01/10/1981</v>
      </c>
      <c r="F27" s="107" t="str">
        <f>NSTonghop!AN27</f>
        <v>01/05/1983</v>
      </c>
      <c r="G27" s="88">
        <f t="shared" si="2"/>
        <v>6</v>
      </c>
      <c r="H27" s="108">
        <f t="shared" si="3"/>
        <v>1964</v>
      </c>
      <c r="I27" s="109" t="str">
        <f t="shared" si="0"/>
        <v/>
      </c>
      <c r="J27" s="109" t="str">
        <f t="shared" si="4"/>
        <v/>
      </c>
      <c r="K27" s="109" t="str">
        <f t="shared" si="4"/>
        <v/>
      </c>
      <c r="L27" s="109" t="str">
        <f t="shared" si="4"/>
        <v/>
      </c>
      <c r="M27" s="109" t="str">
        <f t="shared" si="4"/>
        <v/>
      </c>
      <c r="N27" s="109" t="str">
        <f t="shared" si="4"/>
        <v/>
      </c>
      <c r="O27" s="109" t="str">
        <f t="shared" si="4"/>
        <v/>
      </c>
      <c r="P27" s="109" t="str">
        <f t="shared" si="4"/>
        <v/>
      </c>
      <c r="Q27" s="109" t="str">
        <f t="shared" si="4"/>
        <v/>
      </c>
      <c r="R27" s="109">
        <f t="shared" si="4"/>
        <v>60</v>
      </c>
      <c r="S27" s="109" t="str">
        <f t="shared" si="4"/>
        <v/>
      </c>
      <c r="T27" s="109" t="str">
        <f t="shared" si="4"/>
        <v/>
      </c>
      <c r="U27" s="109" t="str">
        <f t="shared" si="4"/>
        <v/>
      </c>
      <c r="V27" s="109" t="str">
        <f t="shared" si="4"/>
        <v/>
      </c>
      <c r="W27" s="109" t="str">
        <f t="shared" si="4"/>
        <v/>
      </c>
      <c r="X27" s="109" t="str">
        <f t="shared" si="4"/>
        <v/>
      </c>
      <c r="Y27" s="108"/>
    </row>
    <row r="28" spans="1:25" ht="15.75" customHeight="1" x14ac:dyDescent="0.2">
      <c r="A28" s="102">
        <f>IF(B28=0,0,MAX($A$8:A27)+1)</f>
        <v>21</v>
      </c>
      <c r="B28" s="104" t="str">
        <f>NSTonghop!F28</f>
        <v>Nguyễn Thị Kim Nghe</v>
      </c>
      <c r="C28" s="105" t="str">
        <f>NSTonghop!G28</f>
        <v>x</v>
      </c>
      <c r="D28" s="106" t="str">
        <f>IF(C28=0,NSTonghop!H28,NSTonghop!I28)</f>
        <v>19/05/1969</v>
      </c>
      <c r="E28" s="107" t="str">
        <f>NSTonghop!AL28</f>
        <v>01/09/1988</v>
      </c>
      <c r="F28" s="107" t="str">
        <f>NSTonghop!AN28</f>
        <v>01/02/1992</v>
      </c>
      <c r="G28" s="88">
        <f t="shared" si="2"/>
        <v>5</v>
      </c>
      <c r="H28" s="108">
        <f t="shared" si="3"/>
        <v>1969</v>
      </c>
      <c r="I28" s="109" t="str">
        <f t="shared" si="0"/>
        <v/>
      </c>
      <c r="J28" s="109" t="str">
        <f t="shared" ref="J28:X37" si="5">IF(OR(AND($C28="x",J$7-$H28=55),AND($C28=0, J$7-$H28=60)),J$7-$H28,"")</f>
        <v/>
      </c>
      <c r="K28" s="109" t="str">
        <f t="shared" si="5"/>
        <v/>
      </c>
      <c r="L28" s="109" t="str">
        <f t="shared" si="5"/>
        <v/>
      </c>
      <c r="M28" s="109" t="str">
        <f t="shared" si="5"/>
        <v/>
      </c>
      <c r="N28" s="109" t="str">
        <f t="shared" si="5"/>
        <v/>
      </c>
      <c r="O28" s="109" t="str">
        <f t="shared" si="5"/>
        <v/>
      </c>
      <c r="P28" s="109" t="str">
        <f t="shared" si="5"/>
        <v/>
      </c>
      <c r="Q28" s="109" t="str">
        <f t="shared" si="5"/>
        <v/>
      </c>
      <c r="R28" s="109">
        <f t="shared" si="5"/>
        <v>55</v>
      </c>
      <c r="S28" s="109" t="str">
        <f t="shared" si="5"/>
        <v/>
      </c>
      <c r="T28" s="109" t="str">
        <f t="shared" si="5"/>
        <v/>
      </c>
      <c r="U28" s="109" t="str">
        <f t="shared" si="5"/>
        <v/>
      </c>
      <c r="V28" s="109" t="str">
        <f t="shared" si="5"/>
        <v/>
      </c>
      <c r="W28" s="109" t="str">
        <f t="shared" si="5"/>
        <v/>
      </c>
      <c r="X28" s="109" t="str">
        <f t="shared" si="5"/>
        <v/>
      </c>
      <c r="Y28" s="108"/>
    </row>
    <row r="29" spans="1:25" ht="15.75" customHeight="1" x14ac:dyDescent="0.2">
      <c r="A29" s="102">
        <f>IF(B29=0,0,MAX($A$8:A28)+1)</f>
        <v>22</v>
      </c>
      <c r="B29" s="104" t="str">
        <f>NSTonghop!F29</f>
        <v>Trần Thị Hiên</v>
      </c>
      <c r="C29" s="105" t="str">
        <f>NSTonghop!G29</f>
        <v>x</v>
      </c>
      <c r="D29" s="106" t="str">
        <f>IF(C29=0,NSTonghop!H29,NSTonghop!I29)</f>
        <v>15/09/1968</v>
      </c>
      <c r="E29" s="107" t="str">
        <f>NSTonghop!AL29</f>
        <v>01/09/1989</v>
      </c>
      <c r="F29" s="107" t="str">
        <f>NSTonghop!AN29</f>
        <v>01/09/1991</v>
      </c>
      <c r="G29" s="88">
        <f t="shared" si="2"/>
        <v>9</v>
      </c>
      <c r="H29" s="108">
        <f t="shared" si="3"/>
        <v>1968</v>
      </c>
      <c r="I29" s="109" t="str">
        <f t="shared" si="0"/>
        <v/>
      </c>
      <c r="J29" s="109" t="str">
        <f t="shared" si="5"/>
        <v/>
      </c>
      <c r="K29" s="109" t="str">
        <f t="shared" si="5"/>
        <v/>
      </c>
      <c r="L29" s="109" t="str">
        <f t="shared" si="5"/>
        <v/>
      </c>
      <c r="M29" s="109" t="str">
        <f t="shared" si="5"/>
        <v/>
      </c>
      <c r="N29" s="109" t="str">
        <f t="shared" si="5"/>
        <v/>
      </c>
      <c r="O29" s="109" t="str">
        <f t="shared" si="5"/>
        <v/>
      </c>
      <c r="P29" s="109" t="str">
        <f t="shared" si="5"/>
        <v/>
      </c>
      <c r="Q29" s="109">
        <f t="shared" si="5"/>
        <v>55</v>
      </c>
      <c r="R29" s="109" t="str">
        <f t="shared" si="5"/>
        <v/>
      </c>
      <c r="S29" s="109" t="str">
        <f t="shared" si="5"/>
        <v/>
      </c>
      <c r="T29" s="109" t="str">
        <f t="shared" si="5"/>
        <v/>
      </c>
      <c r="U29" s="109" t="str">
        <f t="shared" si="5"/>
        <v/>
      </c>
      <c r="V29" s="109" t="str">
        <f t="shared" si="5"/>
        <v/>
      </c>
      <c r="W29" s="109" t="str">
        <f t="shared" si="5"/>
        <v/>
      </c>
      <c r="X29" s="109" t="str">
        <f t="shared" si="5"/>
        <v/>
      </c>
      <c r="Y29" s="108"/>
    </row>
    <row r="30" spans="1:25" ht="15.75" customHeight="1" x14ac:dyDescent="0.2">
      <c r="A30" s="102">
        <f>IF(B30=0,0,MAX($A$8:A29)+1)</f>
        <v>23</v>
      </c>
      <c r="B30" s="104" t="str">
        <f>NSTonghop!F30</f>
        <v>Trần Khắc Cường</v>
      </c>
      <c r="C30" s="105">
        <f>NSTonghop!G30</f>
        <v>0</v>
      </c>
      <c r="D30" s="106" t="str">
        <f>IF(C30=0,NSTonghop!H30,NSTonghop!I30)</f>
        <v>25/12/1960</v>
      </c>
      <c r="E30" s="107" t="str">
        <f>NSTonghop!AL30</f>
        <v>01/09/1980</v>
      </c>
      <c r="F30" s="107" t="str">
        <f>NSTonghop!AN30</f>
        <v>01/08/1981</v>
      </c>
      <c r="G30" s="88">
        <f t="shared" si="2"/>
        <v>12</v>
      </c>
      <c r="H30" s="108">
        <f t="shared" si="3"/>
        <v>1960</v>
      </c>
      <c r="I30" s="109" t="str">
        <f t="shared" si="0"/>
        <v/>
      </c>
      <c r="J30" s="109" t="str">
        <f t="shared" si="5"/>
        <v/>
      </c>
      <c r="K30" s="109" t="str">
        <f t="shared" si="5"/>
        <v/>
      </c>
      <c r="L30" s="109" t="str">
        <f t="shared" si="5"/>
        <v/>
      </c>
      <c r="M30" s="109" t="str">
        <f t="shared" si="5"/>
        <v/>
      </c>
      <c r="N30" s="109">
        <f t="shared" si="5"/>
        <v>60</v>
      </c>
      <c r="O30" s="109" t="str">
        <f t="shared" si="5"/>
        <v/>
      </c>
      <c r="P30" s="109" t="str">
        <f t="shared" si="5"/>
        <v/>
      </c>
      <c r="Q30" s="109" t="str">
        <f t="shared" si="5"/>
        <v/>
      </c>
      <c r="R30" s="109" t="str">
        <f t="shared" si="5"/>
        <v/>
      </c>
      <c r="S30" s="109" t="str">
        <f t="shared" si="5"/>
        <v/>
      </c>
      <c r="T30" s="109" t="str">
        <f t="shared" si="5"/>
        <v/>
      </c>
      <c r="U30" s="109" t="str">
        <f t="shared" si="5"/>
        <v/>
      </c>
      <c r="V30" s="109" t="str">
        <f t="shared" si="5"/>
        <v/>
      </c>
      <c r="W30" s="109" t="str">
        <f t="shared" si="5"/>
        <v/>
      </c>
      <c r="X30" s="109" t="str">
        <f t="shared" si="5"/>
        <v/>
      </c>
      <c r="Y30" s="108"/>
    </row>
    <row r="31" spans="1:25" ht="15.75" customHeight="1" x14ac:dyDescent="0.2">
      <c r="A31" s="102">
        <f>IF(B31=0,0,MAX($A$8:A30)+1)</f>
        <v>24</v>
      </c>
      <c r="B31" s="104" t="str">
        <f>NSTonghop!F31</f>
        <v>Phạm Thị Ba</v>
      </c>
      <c r="C31" s="105" t="str">
        <f>NSTonghop!G31</f>
        <v>x</v>
      </c>
      <c r="D31" s="106" t="str">
        <f>IF(C31=0,NSTonghop!H31,NSTonghop!I31)</f>
        <v>27/06/1965</v>
      </c>
      <c r="E31" s="107" t="str">
        <f>NSTonghop!AL31</f>
        <v>01/09/1988</v>
      </c>
      <c r="F31" s="107" t="str">
        <f>NSTonghop!AN31</f>
        <v>01/10/1990</v>
      </c>
      <c r="G31" s="88">
        <f t="shared" si="2"/>
        <v>6</v>
      </c>
      <c r="H31" s="108">
        <f t="shared" si="3"/>
        <v>1965</v>
      </c>
      <c r="I31" s="109" t="str">
        <f t="shared" si="0"/>
        <v/>
      </c>
      <c r="J31" s="109" t="str">
        <f t="shared" si="5"/>
        <v/>
      </c>
      <c r="K31" s="109" t="str">
        <f t="shared" si="5"/>
        <v/>
      </c>
      <c r="L31" s="109" t="str">
        <f t="shared" si="5"/>
        <v/>
      </c>
      <c r="M31" s="109" t="str">
        <f t="shared" si="5"/>
        <v/>
      </c>
      <c r="N31" s="109">
        <f t="shared" si="5"/>
        <v>55</v>
      </c>
      <c r="O31" s="109" t="str">
        <f t="shared" si="5"/>
        <v/>
      </c>
      <c r="P31" s="109" t="str">
        <f t="shared" si="5"/>
        <v/>
      </c>
      <c r="Q31" s="109" t="str">
        <f t="shared" si="5"/>
        <v/>
      </c>
      <c r="R31" s="109" t="str">
        <f t="shared" si="5"/>
        <v/>
      </c>
      <c r="S31" s="109" t="str">
        <f t="shared" si="5"/>
        <v/>
      </c>
      <c r="T31" s="109" t="str">
        <f t="shared" si="5"/>
        <v/>
      </c>
      <c r="U31" s="109" t="str">
        <f t="shared" si="5"/>
        <v/>
      </c>
      <c r="V31" s="109" t="str">
        <f t="shared" si="5"/>
        <v/>
      </c>
      <c r="W31" s="109" t="str">
        <f t="shared" si="5"/>
        <v/>
      </c>
      <c r="X31" s="109" t="str">
        <f t="shared" si="5"/>
        <v/>
      </c>
      <c r="Y31" s="108"/>
    </row>
    <row r="32" spans="1:25" ht="15.75" hidden="1" customHeight="1" x14ac:dyDescent="0.2">
      <c r="A32" s="102">
        <f>IF(B32=0,0,MAX($A$8:A31)+1)</f>
        <v>25</v>
      </c>
      <c r="B32" s="104" t="str">
        <f>NSTonghop!F32</f>
        <v>Trần Thiện Hoàng Sự</v>
      </c>
      <c r="C32" s="105">
        <f>NSTonghop!G32</f>
        <v>0</v>
      </c>
      <c r="D32" s="106" t="str">
        <f>IF(C32=0,NSTonghop!H32,NSTonghop!I32)</f>
        <v>01/12/1964</v>
      </c>
      <c r="E32" s="107" t="str">
        <f>NSTonghop!AL32</f>
        <v>01/09/1984</v>
      </c>
      <c r="F32" s="107" t="str">
        <f>NSTonghop!AN32</f>
        <v>01/05/1988</v>
      </c>
      <c r="G32" s="88">
        <f t="shared" si="2"/>
        <v>12</v>
      </c>
      <c r="H32" s="108">
        <f t="shared" si="3"/>
        <v>1964</v>
      </c>
      <c r="I32" s="109" t="str">
        <f t="shared" si="0"/>
        <v/>
      </c>
      <c r="J32" s="109" t="str">
        <f t="shared" si="5"/>
        <v/>
      </c>
      <c r="K32" s="109" t="str">
        <f t="shared" si="5"/>
        <v/>
      </c>
      <c r="L32" s="109" t="str">
        <f t="shared" si="5"/>
        <v/>
      </c>
      <c r="M32" s="109" t="str">
        <f t="shared" si="5"/>
        <v/>
      </c>
      <c r="N32" s="109" t="str">
        <f t="shared" si="5"/>
        <v/>
      </c>
      <c r="O32" s="109" t="str">
        <f t="shared" si="5"/>
        <v/>
      </c>
      <c r="P32" s="109" t="str">
        <f t="shared" si="5"/>
        <v/>
      </c>
      <c r="Q32" s="109" t="str">
        <f t="shared" si="5"/>
        <v/>
      </c>
      <c r="R32" s="109">
        <f t="shared" si="5"/>
        <v>60</v>
      </c>
      <c r="S32" s="109" t="str">
        <f t="shared" si="5"/>
        <v/>
      </c>
      <c r="T32" s="109" t="str">
        <f t="shared" si="5"/>
        <v/>
      </c>
      <c r="U32" s="109" t="str">
        <f t="shared" si="5"/>
        <v/>
      </c>
      <c r="V32" s="109" t="str">
        <f t="shared" si="5"/>
        <v/>
      </c>
      <c r="W32" s="109" t="str">
        <f t="shared" si="5"/>
        <v/>
      </c>
      <c r="X32" s="109" t="str">
        <f t="shared" si="5"/>
        <v/>
      </c>
      <c r="Y32" s="108"/>
    </row>
    <row r="33" spans="1:25" ht="15.75" hidden="1" customHeight="1" x14ac:dyDescent="0.2">
      <c r="A33" s="102">
        <f>IF(B33=0,0,MAX($A$8:A32)+1)</f>
        <v>26</v>
      </c>
      <c r="B33" s="104" t="str">
        <f>NSTonghop!F33</f>
        <v>Phạm Thị Tuyết Sương</v>
      </c>
      <c r="C33" s="105" t="str">
        <f>NSTonghop!G33</f>
        <v>x</v>
      </c>
      <c r="D33" s="106" t="str">
        <f>IF(C33=0,NSTonghop!H33,NSTonghop!I33)</f>
        <v>01/01/1964</v>
      </c>
      <c r="E33" s="107" t="str">
        <f>NSTonghop!AL33</f>
        <v>10/9/1987</v>
      </c>
      <c r="F33" s="107" t="str">
        <f>NSTonghop!AN33</f>
        <v>01/01/1990</v>
      </c>
      <c r="G33" s="88">
        <f t="shared" si="2"/>
        <v>1</v>
      </c>
      <c r="H33" s="108">
        <f t="shared" si="3"/>
        <v>1964</v>
      </c>
      <c r="I33" s="109" t="str">
        <f t="shared" si="0"/>
        <v/>
      </c>
      <c r="J33" s="109" t="str">
        <f t="shared" si="5"/>
        <v/>
      </c>
      <c r="K33" s="109" t="str">
        <f t="shared" si="5"/>
        <v/>
      </c>
      <c r="L33" s="109" t="str">
        <f t="shared" si="5"/>
        <v/>
      </c>
      <c r="M33" s="109">
        <f t="shared" si="5"/>
        <v>55</v>
      </c>
      <c r="N33" s="109" t="str">
        <f t="shared" si="5"/>
        <v/>
      </c>
      <c r="O33" s="109" t="str">
        <f t="shared" si="5"/>
        <v/>
      </c>
      <c r="P33" s="109" t="str">
        <f t="shared" si="5"/>
        <v/>
      </c>
      <c r="Q33" s="109" t="str">
        <f t="shared" si="5"/>
        <v/>
      </c>
      <c r="R33" s="109" t="str">
        <f t="shared" si="5"/>
        <v/>
      </c>
      <c r="S33" s="109" t="str">
        <f t="shared" si="5"/>
        <v/>
      </c>
      <c r="T33" s="109" t="str">
        <f t="shared" si="5"/>
        <v/>
      </c>
      <c r="U33" s="109" t="str">
        <f t="shared" si="5"/>
        <v/>
      </c>
      <c r="V33" s="109" t="str">
        <f t="shared" si="5"/>
        <v/>
      </c>
      <c r="W33" s="109" t="str">
        <f t="shared" si="5"/>
        <v/>
      </c>
      <c r="X33" s="109" t="str">
        <f t="shared" si="5"/>
        <v/>
      </c>
      <c r="Y33" s="108"/>
    </row>
    <row r="34" spans="1:25" ht="15.75" customHeight="1" x14ac:dyDescent="0.2">
      <c r="A34" s="102">
        <f>IF(B34=0,0,MAX($A$8:A33)+1)</f>
        <v>27</v>
      </c>
      <c r="B34" s="104" t="str">
        <f>NSTonghop!F34</f>
        <v>Trịnh Công Vĩnh</v>
      </c>
      <c r="C34" s="105">
        <f>NSTonghop!G34</f>
        <v>0</v>
      </c>
      <c r="D34" s="106" t="str">
        <f>IF(C34=0,NSTonghop!H34,NSTonghop!I34)</f>
        <v>09/01/1986</v>
      </c>
      <c r="E34" s="107" t="str">
        <f>NSTonghop!AL34</f>
        <v>01/09/2012</v>
      </c>
      <c r="F34" s="107" t="str">
        <f>NSTonghop!AN34</f>
        <v>01/09/2013</v>
      </c>
      <c r="G34" s="88">
        <f t="shared" si="2"/>
        <v>1</v>
      </c>
      <c r="H34" s="108">
        <f t="shared" si="3"/>
        <v>1986</v>
      </c>
      <c r="I34" s="109" t="str">
        <f t="shared" si="0"/>
        <v/>
      </c>
      <c r="J34" s="109" t="str">
        <f t="shared" si="5"/>
        <v/>
      </c>
      <c r="K34" s="109" t="str">
        <f t="shared" si="5"/>
        <v/>
      </c>
      <c r="L34" s="109" t="str">
        <f t="shared" si="5"/>
        <v/>
      </c>
      <c r="M34" s="109" t="str">
        <f t="shared" si="5"/>
        <v/>
      </c>
      <c r="N34" s="109" t="str">
        <f t="shared" si="5"/>
        <v/>
      </c>
      <c r="O34" s="109" t="str">
        <f t="shared" si="5"/>
        <v/>
      </c>
      <c r="P34" s="109" t="str">
        <f t="shared" si="5"/>
        <v/>
      </c>
      <c r="Q34" s="109" t="str">
        <f t="shared" si="5"/>
        <v/>
      </c>
      <c r="R34" s="109" t="str">
        <f t="shared" si="5"/>
        <v/>
      </c>
      <c r="S34" s="109" t="str">
        <f t="shared" si="5"/>
        <v/>
      </c>
      <c r="T34" s="109" t="str">
        <f t="shared" si="5"/>
        <v/>
      </c>
      <c r="U34" s="109" t="str">
        <f t="shared" si="5"/>
        <v/>
      </c>
      <c r="V34" s="109" t="str">
        <f t="shared" si="5"/>
        <v/>
      </c>
      <c r="W34" s="109" t="str">
        <f t="shared" si="5"/>
        <v/>
      </c>
      <c r="X34" s="109" t="str">
        <f t="shared" si="5"/>
        <v/>
      </c>
      <c r="Y34" s="108"/>
    </row>
    <row r="35" spans="1:25" ht="15.75" customHeight="1" x14ac:dyDescent="0.2">
      <c r="A35" s="102">
        <f>IF(B35=0,0,MAX($A$8:A34)+1)</f>
        <v>28</v>
      </c>
      <c r="B35" s="104" t="str">
        <f>NSTonghop!F35</f>
        <v>Trần Thị Kim Hương</v>
      </c>
      <c r="C35" s="105" t="str">
        <f>NSTonghop!G35</f>
        <v>x</v>
      </c>
      <c r="D35" s="106" t="str">
        <f>IF(C35=0,NSTonghop!H35,NSTonghop!I35)</f>
        <v>25/08/1986</v>
      </c>
      <c r="E35" s="107" t="str">
        <f>NSTonghop!AL35</f>
        <v>01/09/2007</v>
      </c>
      <c r="F35" s="107" t="str">
        <f>NSTonghop!AN35</f>
        <v>01/09/2008</v>
      </c>
      <c r="G35" s="88">
        <f t="shared" si="2"/>
        <v>8</v>
      </c>
      <c r="H35" s="108">
        <f t="shared" si="3"/>
        <v>1986</v>
      </c>
      <c r="I35" s="109" t="str">
        <f t="shared" si="0"/>
        <v/>
      </c>
      <c r="J35" s="109" t="str">
        <f t="shared" si="5"/>
        <v/>
      </c>
      <c r="K35" s="109" t="str">
        <f t="shared" si="5"/>
        <v/>
      </c>
      <c r="L35" s="109" t="str">
        <f t="shared" si="5"/>
        <v/>
      </c>
      <c r="M35" s="109" t="str">
        <f t="shared" si="5"/>
        <v/>
      </c>
      <c r="N35" s="109" t="str">
        <f t="shared" si="5"/>
        <v/>
      </c>
      <c r="O35" s="109" t="str">
        <f t="shared" si="5"/>
        <v/>
      </c>
      <c r="P35" s="109" t="str">
        <f t="shared" si="5"/>
        <v/>
      </c>
      <c r="Q35" s="109" t="str">
        <f t="shared" si="5"/>
        <v/>
      </c>
      <c r="R35" s="109" t="str">
        <f t="shared" si="5"/>
        <v/>
      </c>
      <c r="S35" s="109" t="str">
        <f t="shared" si="5"/>
        <v/>
      </c>
      <c r="T35" s="109" t="str">
        <f t="shared" si="5"/>
        <v/>
      </c>
      <c r="U35" s="109" t="str">
        <f t="shared" si="5"/>
        <v/>
      </c>
      <c r="V35" s="109" t="str">
        <f t="shared" si="5"/>
        <v/>
      </c>
      <c r="W35" s="109" t="str">
        <f t="shared" si="5"/>
        <v/>
      </c>
      <c r="X35" s="109" t="str">
        <f t="shared" si="5"/>
        <v/>
      </c>
      <c r="Y35" s="108"/>
    </row>
    <row r="36" spans="1:25" ht="15.75" customHeight="1" x14ac:dyDescent="0.2">
      <c r="A36" s="102">
        <f>IF(B36=0,0,MAX($A$8:A35)+1)</f>
        <v>29</v>
      </c>
      <c r="B36" s="104" t="str">
        <f>NSTonghop!F36</f>
        <v>Tô Thị Kiều</v>
      </c>
      <c r="C36" s="105" t="str">
        <f>NSTonghop!G36</f>
        <v>x</v>
      </c>
      <c r="D36" s="106" t="str">
        <f>IF(C36=0,NSTonghop!H36,NSTonghop!I36)</f>
        <v>04/01/1988</v>
      </c>
      <c r="E36" s="107" t="str">
        <f>NSTonghop!AL36</f>
        <v>01/09/2013</v>
      </c>
      <c r="F36" s="107" t="str">
        <f>NSTonghop!AN36</f>
        <v>01/09/2014</v>
      </c>
      <c r="G36" s="88">
        <f t="shared" si="2"/>
        <v>1</v>
      </c>
      <c r="H36" s="108">
        <f t="shared" si="3"/>
        <v>1988</v>
      </c>
      <c r="I36" s="109" t="str">
        <f t="shared" si="0"/>
        <v/>
      </c>
      <c r="J36" s="109" t="str">
        <f t="shared" si="5"/>
        <v/>
      </c>
      <c r="K36" s="109" t="str">
        <f t="shared" si="5"/>
        <v/>
      </c>
      <c r="L36" s="109" t="str">
        <f t="shared" si="5"/>
        <v/>
      </c>
      <c r="M36" s="109" t="str">
        <f t="shared" si="5"/>
        <v/>
      </c>
      <c r="N36" s="109" t="str">
        <f t="shared" si="5"/>
        <v/>
      </c>
      <c r="O36" s="109" t="str">
        <f t="shared" si="5"/>
        <v/>
      </c>
      <c r="P36" s="109" t="str">
        <f t="shared" si="5"/>
        <v/>
      </c>
      <c r="Q36" s="109" t="str">
        <f t="shared" si="5"/>
        <v/>
      </c>
      <c r="R36" s="109" t="str">
        <f t="shared" si="5"/>
        <v/>
      </c>
      <c r="S36" s="109" t="str">
        <f t="shared" si="5"/>
        <v/>
      </c>
      <c r="T36" s="109" t="str">
        <f t="shared" si="5"/>
        <v/>
      </c>
      <c r="U36" s="109" t="str">
        <f t="shared" si="5"/>
        <v/>
      </c>
      <c r="V36" s="109" t="str">
        <f t="shared" si="5"/>
        <v/>
      </c>
      <c r="W36" s="109" t="str">
        <f t="shared" si="5"/>
        <v/>
      </c>
      <c r="X36" s="109" t="str">
        <f t="shared" si="5"/>
        <v/>
      </c>
      <c r="Y36" s="108"/>
    </row>
    <row r="37" spans="1:25" ht="15.75" customHeight="1" x14ac:dyDescent="0.2">
      <c r="A37" s="102">
        <f>IF(B37=0,0,MAX($A$8:A36)+1)</f>
        <v>30</v>
      </c>
      <c r="B37" s="104" t="str">
        <f>NSTonghop!F37</f>
        <v>Nguyễn Thị Bạch Cúc</v>
      </c>
      <c r="C37" s="105" t="str">
        <f>NSTonghop!G37</f>
        <v>x</v>
      </c>
      <c r="D37" s="106" t="str">
        <f>IF(C37=0,NSTonghop!H37,NSTonghop!I37)</f>
        <v>21/07/1965</v>
      </c>
      <c r="E37" s="107" t="str">
        <f>NSTonghop!AL37</f>
        <v>01/09/1988</v>
      </c>
      <c r="F37" s="107" t="str">
        <f>NSTonghop!AN37</f>
        <v>01/09/1991</v>
      </c>
      <c r="G37" s="88">
        <f t="shared" si="2"/>
        <v>7</v>
      </c>
      <c r="H37" s="108">
        <f t="shared" si="3"/>
        <v>1965</v>
      </c>
      <c r="I37" s="109" t="str">
        <f t="shared" si="0"/>
        <v/>
      </c>
      <c r="J37" s="109" t="str">
        <f t="shared" si="5"/>
        <v/>
      </c>
      <c r="K37" s="109" t="str">
        <f t="shared" si="5"/>
        <v/>
      </c>
      <c r="L37" s="109" t="str">
        <f t="shared" si="5"/>
        <v/>
      </c>
      <c r="M37" s="109" t="str">
        <f t="shared" si="5"/>
        <v/>
      </c>
      <c r="N37" s="109">
        <f t="shared" si="5"/>
        <v>55</v>
      </c>
      <c r="O37" s="109" t="str">
        <f t="shared" si="5"/>
        <v/>
      </c>
      <c r="P37" s="109" t="str">
        <f t="shared" si="5"/>
        <v/>
      </c>
      <c r="Q37" s="109" t="str">
        <f t="shared" si="5"/>
        <v/>
      </c>
      <c r="R37" s="109" t="str">
        <f t="shared" si="5"/>
        <v/>
      </c>
      <c r="S37" s="109" t="str">
        <f t="shared" si="5"/>
        <v/>
      </c>
      <c r="T37" s="109" t="str">
        <f t="shared" si="5"/>
        <v/>
      </c>
      <c r="U37" s="109" t="str">
        <f t="shared" si="5"/>
        <v/>
      </c>
      <c r="V37" s="109" t="str">
        <f t="shared" si="5"/>
        <v/>
      </c>
      <c r="W37" s="109" t="str">
        <f t="shared" si="5"/>
        <v/>
      </c>
      <c r="X37" s="109" t="str">
        <f t="shared" si="5"/>
        <v/>
      </c>
      <c r="Y37" s="108"/>
    </row>
    <row r="38" spans="1:25" ht="15.75" customHeight="1" x14ac:dyDescent="0.2">
      <c r="A38" s="102">
        <f>IF(B38=0,0,MAX($A$8:A37)+1)</f>
        <v>31</v>
      </c>
      <c r="B38" s="104" t="str">
        <f>NSTonghop!F38</f>
        <v>Nguyễn Thị Kim Cương</v>
      </c>
      <c r="C38" s="105" t="str">
        <f>NSTonghop!G38</f>
        <v>x</v>
      </c>
      <c r="D38" s="106" t="str">
        <f>IF(C38=0,NSTonghop!H38,NSTonghop!I38)</f>
        <v>20/09/1987</v>
      </c>
      <c r="E38" s="107" t="str">
        <f>NSTonghop!AL38</f>
        <v>01/09/2011</v>
      </c>
      <c r="F38" s="107" t="str">
        <f>NSTonghop!AN38</f>
        <v>01/09/2012</v>
      </c>
      <c r="G38" s="88">
        <f t="shared" si="2"/>
        <v>9</v>
      </c>
      <c r="H38" s="108">
        <f t="shared" si="3"/>
        <v>1987</v>
      </c>
      <c r="I38" s="109" t="str">
        <f t="shared" si="0"/>
        <v/>
      </c>
      <c r="J38" s="109" t="str">
        <f t="shared" ref="J38:X47" si="6">IF(OR(AND($C38="x",J$7-$H38=55),AND($C38=0, J$7-$H38=60)),J$7-$H38,"")</f>
        <v/>
      </c>
      <c r="K38" s="109" t="str">
        <f t="shared" si="6"/>
        <v/>
      </c>
      <c r="L38" s="109" t="str">
        <f t="shared" si="6"/>
        <v/>
      </c>
      <c r="M38" s="109" t="str">
        <f t="shared" si="6"/>
        <v/>
      </c>
      <c r="N38" s="109" t="str">
        <f t="shared" si="6"/>
        <v/>
      </c>
      <c r="O38" s="109" t="str">
        <f t="shared" si="6"/>
        <v/>
      </c>
      <c r="P38" s="109" t="str">
        <f t="shared" si="6"/>
        <v/>
      </c>
      <c r="Q38" s="109" t="str">
        <f t="shared" si="6"/>
        <v/>
      </c>
      <c r="R38" s="109" t="str">
        <f t="shared" si="6"/>
        <v/>
      </c>
      <c r="S38" s="109" t="str">
        <f t="shared" si="6"/>
        <v/>
      </c>
      <c r="T38" s="109" t="str">
        <f t="shared" si="6"/>
        <v/>
      </c>
      <c r="U38" s="109" t="str">
        <f t="shared" si="6"/>
        <v/>
      </c>
      <c r="V38" s="109" t="str">
        <f t="shared" si="6"/>
        <v/>
      </c>
      <c r="W38" s="109" t="str">
        <f t="shared" si="6"/>
        <v/>
      </c>
      <c r="X38" s="109" t="str">
        <f t="shared" si="6"/>
        <v/>
      </c>
      <c r="Y38" s="108"/>
    </row>
    <row r="39" spans="1:25" ht="15.75" customHeight="1" x14ac:dyDescent="0.2">
      <c r="A39" s="102">
        <f>IF(B39=0,0,MAX($A$8:A38)+1)</f>
        <v>32</v>
      </c>
      <c r="B39" s="104" t="str">
        <f>NSTonghop!F39</f>
        <v>Trần Thị Ngọc Giàu</v>
      </c>
      <c r="C39" s="105" t="str">
        <f>NSTonghop!G39</f>
        <v>x</v>
      </c>
      <c r="D39" s="106" t="str">
        <f>IF(C39=0,NSTonghop!H39,NSTonghop!I39)</f>
        <v>01/07/1981</v>
      </c>
      <c r="E39" s="107" t="str">
        <f>NSTonghop!AL39</f>
        <v>01/09/2003</v>
      </c>
      <c r="F39" s="107" t="str">
        <f>NSTonghop!AN39</f>
        <v>01/03/2004</v>
      </c>
      <c r="G39" s="88">
        <f t="shared" si="2"/>
        <v>7</v>
      </c>
      <c r="H39" s="108">
        <f t="shared" si="3"/>
        <v>1981</v>
      </c>
      <c r="I39" s="109" t="str">
        <f t="shared" si="0"/>
        <v/>
      </c>
      <c r="J39" s="109" t="str">
        <f t="shared" si="6"/>
        <v/>
      </c>
      <c r="K39" s="109" t="str">
        <f t="shared" si="6"/>
        <v/>
      </c>
      <c r="L39" s="109" t="str">
        <f t="shared" si="6"/>
        <v/>
      </c>
      <c r="M39" s="109" t="str">
        <f t="shared" si="6"/>
        <v/>
      </c>
      <c r="N39" s="109" t="str">
        <f t="shared" si="6"/>
        <v/>
      </c>
      <c r="O39" s="109" t="str">
        <f t="shared" si="6"/>
        <v/>
      </c>
      <c r="P39" s="109" t="str">
        <f t="shared" si="6"/>
        <v/>
      </c>
      <c r="Q39" s="109" t="str">
        <f t="shared" si="6"/>
        <v/>
      </c>
      <c r="R39" s="109" t="str">
        <f t="shared" si="6"/>
        <v/>
      </c>
      <c r="S39" s="109" t="str">
        <f t="shared" si="6"/>
        <v/>
      </c>
      <c r="T39" s="109" t="str">
        <f t="shared" si="6"/>
        <v/>
      </c>
      <c r="U39" s="109" t="str">
        <f t="shared" si="6"/>
        <v/>
      </c>
      <c r="V39" s="109" t="str">
        <f t="shared" si="6"/>
        <v/>
      </c>
      <c r="W39" s="109" t="str">
        <f t="shared" si="6"/>
        <v/>
      </c>
      <c r="X39" s="109" t="str">
        <f t="shared" si="6"/>
        <v/>
      </c>
      <c r="Y39" s="108"/>
    </row>
    <row r="40" spans="1:25" ht="15.75" customHeight="1" x14ac:dyDescent="0.2">
      <c r="A40" s="102">
        <f>IF(B40=0,0,MAX($A$8:A39)+1)</f>
        <v>33</v>
      </c>
      <c r="B40" s="104" t="str">
        <f>NSTonghop!F40</f>
        <v>Phạm Thị Thoa</v>
      </c>
      <c r="C40" s="105" t="str">
        <f>NSTonghop!G40</f>
        <v>x</v>
      </c>
      <c r="D40" s="106" t="str">
        <f>IF(C40=0,NSTonghop!H40,NSTonghop!I40)</f>
        <v>10/05/1979</v>
      </c>
      <c r="E40" s="107" t="str">
        <f>NSTonghop!AL40</f>
        <v>01/09/1999</v>
      </c>
      <c r="F40" s="107" t="str">
        <f>NSTonghop!AN40</f>
        <v>01/03/2000</v>
      </c>
      <c r="G40" s="88">
        <f t="shared" si="2"/>
        <v>5</v>
      </c>
      <c r="H40" s="108">
        <f t="shared" si="3"/>
        <v>1979</v>
      </c>
      <c r="I40" s="109" t="str">
        <f t="shared" ref="I40:I71" si="7">IF(OR(AND($C40="x",I$7-$H40=55),AND($C40=0,I$7-$H40=60)),I$7-$H40,"")</f>
        <v/>
      </c>
      <c r="J40" s="109" t="str">
        <f t="shared" si="6"/>
        <v/>
      </c>
      <c r="K40" s="109" t="str">
        <f t="shared" si="6"/>
        <v/>
      </c>
      <c r="L40" s="109" t="str">
        <f t="shared" si="6"/>
        <v/>
      </c>
      <c r="M40" s="109" t="str">
        <f t="shared" si="6"/>
        <v/>
      </c>
      <c r="N40" s="109" t="str">
        <f t="shared" si="6"/>
        <v/>
      </c>
      <c r="O40" s="109" t="str">
        <f t="shared" si="6"/>
        <v/>
      </c>
      <c r="P40" s="109" t="str">
        <f t="shared" si="6"/>
        <v/>
      </c>
      <c r="Q40" s="109" t="str">
        <f t="shared" si="6"/>
        <v/>
      </c>
      <c r="R40" s="109" t="str">
        <f t="shared" si="6"/>
        <v/>
      </c>
      <c r="S40" s="109" t="str">
        <f t="shared" si="6"/>
        <v/>
      </c>
      <c r="T40" s="109" t="str">
        <f t="shared" si="6"/>
        <v/>
      </c>
      <c r="U40" s="109" t="str">
        <f t="shared" si="6"/>
        <v/>
      </c>
      <c r="V40" s="109" t="str">
        <f t="shared" si="6"/>
        <v/>
      </c>
      <c r="W40" s="109" t="str">
        <f t="shared" si="6"/>
        <v/>
      </c>
      <c r="X40" s="109" t="str">
        <f t="shared" si="6"/>
        <v/>
      </c>
      <c r="Y40" s="108"/>
    </row>
    <row r="41" spans="1:25" ht="15.75" customHeight="1" x14ac:dyDescent="0.2">
      <c r="A41" s="102">
        <f>IF(B41=0,0,MAX($A$8:A40)+1)</f>
        <v>34</v>
      </c>
      <c r="B41" s="104" t="str">
        <f>NSTonghop!F41</f>
        <v>Lê Thị Tính</v>
      </c>
      <c r="C41" s="105" t="str">
        <f>NSTonghop!G41</f>
        <v>x</v>
      </c>
      <c r="D41" s="106" t="str">
        <f>IF(C41=0,NSTonghop!H41,NSTonghop!I41)</f>
        <v>06/08/1981</v>
      </c>
      <c r="E41" s="107" t="str">
        <f>NSTonghop!AL41</f>
        <v>01/09/2002</v>
      </c>
      <c r="F41" s="107" t="str">
        <f>NSTonghop!AN41</f>
        <v>01/03/2003</v>
      </c>
      <c r="G41" s="88">
        <f t="shared" si="2"/>
        <v>8</v>
      </c>
      <c r="H41" s="108">
        <f t="shared" si="3"/>
        <v>1981</v>
      </c>
      <c r="I41" s="109" t="str">
        <f t="shared" si="7"/>
        <v/>
      </c>
      <c r="J41" s="109" t="str">
        <f t="shared" si="6"/>
        <v/>
      </c>
      <c r="K41" s="109" t="str">
        <f t="shared" si="6"/>
        <v/>
      </c>
      <c r="L41" s="109" t="str">
        <f t="shared" si="6"/>
        <v/>
      </c>
      <c r="M41" s="109" t="str">
        <f t="shared" si="6"/>
        <v/>
      </c>
      <c r="N41" s="109" t="str">
        <f t="shared" si="6"/>
        <v/>
      </c>
      <c r="O41" s="109" t="str">
        <f t="shared" si="6"/>
        <v/>
      </c>
      <c r="P41" s="109" t="str">
        <f t="shared" si="6"/>
        <v/>
      </c>
      <c r="Q41" s="109" t="str">
        <f t="shared" si="6"/>
        <v/>
      </c>
      <c r="R41" s="109" t="str">
        <f t="shared" si="6"/>
        <v/>
      </c>
      <c r="S41" s="109" t="str">
        <f t="shared" si="6"/>
        <v/>
      </c>
      <c r="T41" s="109" t="str">
        <f t="shared" si="6"/>
        <v/>
      </c>
      <c r="U41" s="109" t="str">
        <f t="shared" si="6"/>
        <v/>
      </c>
      <c r="V41" s="109" t="str">
        <f t="shared" si="6"/>
        <v/>
      </c>
      <c r="W41" s="109" t="str">
        <f t="shared" si="6"/>
        <v/>
      </c>
      <c r="X41" s="109" t="str">
        <f t="shared" si="6"/>
        <v/>
      </c>
      <c r="Y41" s="108"/>
    </row>
    <row r="42" spans="1:25" ht="15.75" customHeight="1" x14ac:dyDescent="0.2">
      <c r="A42" s="102">
        <f>IF(B42=0,0,MAX($A$8:A41)+1)</f>
        <v>35</v>
      </c>
      <c r="B42" s="104" t="str">
        <f>NSTonghop!F42</f>
        <v>Võ Thị Kim Thùy</v>
      </c>
      <c r="C42" s="105" t="str">
        <f>NSTonghop!G42</f>
        <v>x</v>
      </c>
      <c r="D42" s="106" t="str">
        <f>IF(C42=0,NSTonghop!H42,NSTonghop!I42)</f>
        <v>30/07/1991</v>
      </c>
      <c r="E42" s="107" t="str">
        <f>NSTonghop!AL42</f>
        <v>10/10/2016</v>
      </c>
      <c r="F42" s="107" t="str">
        <f>NSTonghop!AN42</f>
        <v>01/07/2017</v>
      </c>
      <c r="G42" s="88">
        <f t="shared" si="2"/>
        <v>7</v>
      </c>
      <c r="H42" s="108">
        <f t="shared" si="3"/>
        <v>1991</v>
      </c>
      <c r="I42" s="109" t="str">
        <f t="shared" si="7"/>
        <v/>
      </c>
      <c r="J42" s="109" t="str">
        <f t="shared" si="6"/>
        <v/>
      </c>
      <c r="K42" s="109" t="str">
        <f t="shared" si="6"/>
        <v/>
      </c>
      <c r="L42" s="109" t="str">
        <f t="shared" si="6"/>
        <v/>
      </c>
      <c r="M42" s="109" t="str">
        <f t="shared" si="6"/>
        <v/>
      </c>
      <c r="N42" s="109" t="str">
        <f t="shared" si="6"/>
        <v/>
      </c>
      <c r="O42" s="109" t="str">
        <f t="shared" si="6"/>
        <v/>
      </c>
      <c r="P42" s="109" t="str">
        <f t="shared" si="6"/>
        <v/>
      </c>
      <c r="Q42" s="109" t="str">
        <f t="shared" si="6"/>
        <v/>
      </c>
      <c r="R42" s="109" t="str">
        <f t="shared" si="6"/>
        <v/>
      </c>
      <c r="S42" s="109" t="str">
        <f t="shared" si="6"/>
        <v/>
      </c>
      <c r="T42" s="109" t="str">
        <f t="shared" si="6"/>
        <v/>
      </c>
      <c r="U42" s="109" t="str">
        <f t="shared" si="6"/>
        <v/>
      </c>
      <c r="V42" s="109" t="str">
        <f t="shared" si="6"/>
        <v/>
      </c>
      <c r="W42" s="109" t="str">
        <f t="shared" si="6"/>
        <v/>
      </c>
      <c r="X42" s="109" t="str">
        <f t="shared" si="6"/>
        <v/>
      </c>
      <c r="Y42" s="108"/>
    </row>
    <row r="43" spans="1:25" ht="15.75" customHeight="1" x14ac:dyDescent="0.2">
      <c r="A43" s="102">
        <f>IF(B43=0,0,MAX($A$8:A42)+1)</f>
        <v>36</v>
      </c>
      <c r="B43" s="104" t="str">
        <f>NSTonghop!F43</f>
        <v>Châu Thị Huỳnh Mai</v>
      </c>
      <c r="C43" s="105" t="str">
        <f>NSTonghop!G43</f>
        <v>x</v>
      </c>
      <c r="D43" s="106" t="str">
        <f>IF(C43=0,NSTonghop!H43,NSTonghop!I43)</f>
        <v>03/02/1976</v>
      </c>
      <c r="E43" s="107" t="str">
        <f>NSTonghop!AL43</f>
        <v>01/09/1996</v>
      </c>
      <c r="F43" s="107" t="str">
        <f>NSTonghop!AN43</f>
        <v>01/01/1999</v>
      </c>
      <c r="G43" s="88">
        <f t="shared" si="2"/>
        <v>2</v>
      </c>
      <c r="H43" s="108">
        <f t="shared" si="3"/>
        <v>1976</v>
      </c>
      <c r="I43" s="109" t="str">
        <f t="shared" si="7"/>
        <v/>
      </c>
      <c r="J43" s="109" t="str">
        <f t="shared" si="6"/>
        <v/>
      </c>
      <c r="K43" s="109" t="str">
        <f t="shared" si="6"/>
        <v/>
      </c>
      <c r="L43" s="109" t="str">
        <f t="shared" si="6"/>
        <v/>
      </c>
      <c r="M43" s="109" t="str">
        <f t="shared" si="6"/>
        <v/>
      </c>
      <c r="N43" s="109" t="str">
        <f t="shared" si="6"/>
        <v/>
      </c>
      <c r="O43" s="109" t="str">
        <f t="shared" si="6"/>
        <v/>
      </c>
      <c r="P43" s="109" t="str">
        <f t="shared" si="6"/>
        <v/>
      </c>
      <c r="Q43" s="109" t="str">
        <f t="shared" si="6"/>
        <v/>
      </c>
      <c r="R43" s="109" t="str">
        <f t="shared" si="6"/>
        <v/>
      </c>
      <c r="S43" s="109" t="str">
        <f t="shared" si="6"/>
        <v/>
      </c>
      <c r="T43" s="109" t="str">
        <f t="shared" si="6"/>
        <v/>
      </c>
      <c r="U43" s="109" t="str">
        <f t="shared" si="6"/>
        <v/>
      </c>
      <c r="V43" s="109" t="str">
        <f t="shared" si="6"/>
        <v/>
      </c>
      <c r="W43" s="109" t="str">
        <f t="shared" si="6"/>
        <v/>
      </c>
      <c r="X43" s="109" t="str">
        <f t="shared" si="6"/>
        <v/>
      </c>
      <c r="Y43" s="108"/>
    </row>
    <row r="44" spans="1:25" ht="15.75" customHeight="1" x14ac:dyDescent="0.2">
      <c r="A44" s="102">
        <f>IF(B44=0,0,MAX($A$8:A43)+1)</f>
        <v>37</v>
      </c>
      <c r="B44" s="104" t="str">
        <f>NSTonghop!F44</f>
        <v>Huỳnh Thị Lang Chi</v>
      </c>
      <c r="C44" s="105" t="str">
        <f>NSTonghop!G44</f>
        <v>x</v>
      </c>
      <c r="D44" s="106" t="str">
        <f>IF(C44=0,NSTonghop!H44,NSTonghop!I44)</f>
        <v>06/08/1971</v>
      </c>
      <c r="E44" s="107" t="str">
        <f>NSTonghop!AL44</f>
        <v>01/09/1993</v>
      </c>
      <c r="F44" s="107" t="str">
        <f>NSTonghop!AN44</f>
        <v>01/12/1995</v>
      </c>
      <c r="G44" s="88">
        <f t="shared" si="2"/>
        <v>8</v>
      </c>
      <c r="H44" s="108">
        <f t="shared" si="3"/>
        <v>1971</v>
      </c>
      <c r="I44" s="109" t="str">
        <f t="shared" si="7"/>
        <v/>
      </c>
      <c r="J44" s="109" t="str">
        <f t="shared" si="6"/>
        <v/>
      </c>
      <c r="K44" s="109" t="str">
        <f t="shared" si="6"/>
        <v/>
      </c>
      <c r="L44" s="109" t="str">
        <f t="shared" si="6"/>
        <v/>
      </c>
      <c r="M44" s="109" t="str">
        <f t="shared" si="6"/>
        <v/>
      </c>
      <c r="N44" s="109" t="str">
        <f t="shared" si="6"/>
        <v/>
      </c>
      <c r="O44" s="109" t="str">
        <f t="shared" si="6"/>
        <v/>
      </c>
      <c r="P44" s="109" t="str">
        <f t="shared" si="6"/>
        <v/>
      </c>
      <c r="Q44" s="109" t="str">
        <f t="shared" si="6"/>
        <v/>
      </c>
      <c r="R44" s="109" t="str">
        <f t="shared" si="6"/>
        <v/>
      </c>
      <c r="S44" s="109" t="str">
        <f t="shared" si="6"/>
        <v/>
      </c>
      <c r="T44" s="109">
        <f t="shared" si="6"/>
        <v>55</v>
      </c>
      <c r="U44" s="109" t="str">
        <f t="shared" si="6"/>
        <v/>
      </c>
      <c r="V44" s="109" t="str">
        <f t="shared" si="6"/>
        <v/>
      </c>
      <c r="W44" s="109" t="str">
        <f t="shared" si="6"/>
        <v/>
      </c>
      <c r="X44" s="109" t="str">
        <f t="shared" si="6"/>
        <v/>
      </c>
      <c r="Y44" s="108"/>
    </row>
    <row r="45" spans="1:25" ht="15.75" customHeight="1" x14ac:dyDescent="0.2">
      <c r="A45" s="102">
        <f>IF(B45=0,0,MAX($A$8:A44)+1)</f>
        <v>38</v>
      </c>
      <c r="B45" s="104" t="str">
        <f>NSTonghop!F45</f>
        <v>Đoàn Thị Viên An</v>
      </c>
      <c r="C45" s="105" t="str">
        <f>NSTonghop!G45</f>
        <v>x</v>
      </c>
      <c r="D45" s="106" t="str">
        <f>IF(C45=0,NSTonghop!H45,NSTonghop!I45)</f>
        <v>09/03/1978</v>
      </c>
      <c r="E45" s="107" t="str">
        <f>NSTonghop!AL45</f>
        <v>01/09/1999</v>
      </c>
      <c r="F45" s="107" t="str">
        <f>NSTonghop!AN45</f>
        <v>01/04/2000</v>
      </c>
      <c r="G45" s="88">
        <f t="shared" si="2"/>
        <v>3</v>
      </c>
      <c r="H45" s="108">
        <f t="shared" si="3"/>
        <v>1978</v>
      </c>
      <c r="I45" s="109" t="str">
        <f t="shared" si="7"/>
        <v/>
      </c>
      <c r="J45" s="109" t="str">
        <f t="shared" si="6"/>
        <v/>
      </c>
      <c r="K45" s="109" t="str">
        <f t="shared" si="6"/>
        <v/>
      </c>
      <c r="L45" s="109" t="str">
        <f t="shared" si="6"/>
        <v/>
      </c>
      <c r="M45" s="109" t="str">
        <f t="shared" si="6"/>
        <v/>
      </c>
      <c r="N45" s="109" t="str">
        <f t="shared" si="6"/>
        <v/>
      </c>
      <c r="O45" s="109" t="str">
        <f t="shared" si="6"/>
        <v/>
      </c>
      <c r="P45" s="109" t="str">
        <f t="shared" si="6"/>
        <v/>
      </c>
      <c r="Q45" s="109" t="str">
        <f t="shared" si="6"/>
        <v/>
      </c>
      <c r="R45" s="109" t="str">
        <f t="shared" si="6"/>
        <v/>
      </c>
      <c r="S45" s="109" t="str">
        <f t="shared" si="6"/>
        <v/>
      </c>
      <c r="T45" s="109" t="str">
        <f t="shared" si="6"/>
        <v/>
      </c>
      <c r="U45" s="109" t="str">
        <f t="shared" si="6"/>
        <v/>
      </c>
      <c r="V45" s="109" t="str">
        <f t="shared" si="6"/>
        <v/>
      </c>
      <c r="W45" s="109" t="str">
        <f t="shared" si="6"/>
        <v/>
      </c>
      <c r="X45" s="109" t="str">
        <f t="shared" si="6"/>
        <v/>
      </c>
      <c r="Y45" s="108"/>
    </row>
    <row r="46" spans="1:25" ht="15.75" customHeight="1" x14ac:dyDescent="0.2">
      <c r="A46" s="102">
        <f>IF(B46=0,0,MAX($A$8:A45)+1)</f>
        <v>39</v>
      </c>
      <c r="B46" s="104" t="str">
        <f>NSTonghop!F46</f>
        <v>Nguyễn Thị Đầm</v>
      </c>
      <c r="C46" s="105" t="str">
        <f>NSTonghop!G46</f>
        <v>x</v>
      </c>
      <c r="D46" s="106" t="str">
        <f>IF(C46=0,NSTonghop!H46,NSTonghop!I46)</f>
        <v>06/06/1976</v>
      </c>
      <c r="E46" s="107" t="str">
        <f>NSTonghop!AL46</f>
        <v>01/09/1998</v>
      </c>
      <c r="F46" s="107" t="str">
        <f>NSTonghop!AN46</f>
        <v>01/04/1999</v>
      </c>
      <c r="G46" s="88">
        <f t="shared" si="2"/>
        <v>6</v>
      </c>
      <c r="H46" s="108">
        <f t="shared" si="3"/>
        <v>1976</v>
      </c>
      <c r="I46" s="109" t="str">
        <f t="shared" si="7"/>
        <v/>
      </c>
      <c r="J46" s="109" t="str">
        <f t="shared" si="6"/>
        <v/>
      </c>
      <c r="K46" s="109" t="str">
        <f t="shared" si="6"/>
        <v/>
      </c>
      <c r="L46" s="109" t="str">
        <f t="shared" si="6"/>
        <v/>
      </c>
      <c r="M46" s="109" t="str">
        <f t="shared" si="6"/>
        <v/>
      </c>
      <c r="N46" s="109" t="str">
        <f t="shared" si="6"/>
        <v/>
      </c>
      <c r="O46" s="109" t="str">
        <f t="shared" si="6"/>
        <v/>
      </c>
      <c r="P46" s="109" t="str">
        <f t="shared" si="6"/>
        <v/>
      </c>
      <c r="Q46" s="109" t="str">
        <f t="shared" si="6"/>
        <v/>
      </c>
      <c r="R46" s="109" t="str">
        <f t="shared" si="6"/>
        <v/>
      </c>
      <c r="S46" s="109" t="str">
        <f t="shared" si="6"/>
        <v/>
      </c>
      <c r="T46" s="109" t="str">
        <f t="shared" si="6"/>
        <v/>
      </c>
      <c r="U46" s="109" t="str">
        <f t="shared" si="6"/>
        <v/>
      </c>
      <c r="V46" s="109" t="str">
        <f t="shared" si="6"/>
        <v/>
      </c>
      <c r="W46" s="109" t="str">
        <f t="shared" si="6"/>
        <v/>
      </c>
      <c r="X46" s="109" t="str">
        <f t="shared" si="6"/>
        <v/>
      </c>
      <c r="Y46" s="108"/>
    </row>
    <row r="47" spans="1:25" ht="15.75" customHeight="1" x14ac:dyDescent="0.2">
      <c r="A47" s="102">
        <f>IF(B47=0,0,MAX($A$8:A46)+1)</f>
        <v>40</v>
      </c>
      <c r="B47" s="104" t="str">
        <f>NSTonghop!F47</f>
        <v>Trần Thị Thanh Tiền</v>
      </c>
      <c r="C47" s="105" t="str">
        <f>NSTonghop!G47</f>
        <v>x</v>
      </c>
      <c r="D47" s="106" t="str">
        <f>IF(C47=0,NSTonghop!H47,NSTonghop!I47)</f>
        <v>05/10/1981</v>
      </c>
      <c r="E47" s="107" t="str">
        <f>NSTonghop!AL47</f>
        <v>01/09/2003</v>
      </c>
      <c r="F47" s="107" t="str">
        <f>NSTonghop!AN47</f>
        <v>01/03/2004</v>
      </c>
      <c r="G47" s="88">
        <f t="shared" si="2"/>
        <v>10</v>
      </c>
      <c r="H47" s="108">
        <f t="shared" si="3"/>
        <v>1981</v>
      </c>
      <c r="I47" s="109" t="str">
        <f t="shared" si="7"/>
        <v/>
      </c>
      <c r="J47" s="109" t="str">
        <f t="shared" si="6"/>
        <v/>
      </c>
      <c r="K47" s="109" t="str">
        <f t="shared" si="6"/>
        <v/>
      </c>
      <c r="L47" s="109" t="str">
        <f t="shared" si="6"/>
        <v/>
      </c>
      <c r="M47" s="109" t="str">
        <f t="shared" si="6"/>
        <v/>
      </c>
      <c r="N47" s="109" t="str">
        <f t="shared" si="6"/>
        <v/>
      </c>
      <c r="O47" s="109" t="str">
        <f t="shared" si="6"/>
        <v/>
      </c>
      <c r="P47" s="109" t="str">
        <f t="shared" si="6"/>
        <v/>
      </c>
      <c r="Q47" s="109" t="str">
        <f t="shared" si="6"/>
        <v/>
      </c>
      <c r="R47" s="109" t="str">
        <f t="shared" si="6"/>
        <v/>
      </c>
      <c r="S47" s="109" t="str">
        <f t="shared" si="6"/>
        <v/>
      </c>
      <c r="T47" s="109" t="str">
        <f t="shared" si="6"/>
        <v/>
      </c>
      <c r="U47" s="109" t="str">
        <f t="shared" si="6"/>
        <v/>
      </c>
      <c r="V47" s="109" t="str">
        <f t="shared" si="6"/>
        <v/>
      </c>
      <c r="W47" s="109" t="str">
        <f t="shared" si="6"/>
        <v/>
      </c>
      <c r="X47" s="109" t="str">
        <f t="shared" si="6"/>
        <v/>
      </c>
      <c r="Y47" s="108"/>
    </row>
    <row r="48" spans="1:25" ht="15.75" customHeight="1" x14ac:dyDescent="0.2">
      <c r="A48" s="102">
        <f>IF(B48=0,0,MAX($A$8:A47)+1)</f>
        <v>41</v>
      </c>
      <c r="B48" s="104" t="str">
        <f>NSTonghop!F48</f>
        <v>Hồ Thị Cẩm Thu</v>
      </c>
      <c r="C48" s="105" t="str">
        <f>NSTonghop!G48</f>
        <v>x</v>
      </c>
      <c r="D48" s="106" t="str">
        <f>IF(C48=0,NSTonghop!H48,NSTonghop!I48)</f>
        <v>26/12/1967</v>
      </c>
      <c r="E48" s="107" t="str">
        <f>NSTonghop!AL48</f>
        <v>16/02/1990</v>
      </c>
      <c r="F48" s="107" t="str">
        <f>NSTonghop!AN48</f>
        <v>01/03/1992</v>
      </c>
      <c r="G48" s="88">
        <f t="shared" si="2"/>
        <v>12</v>
      </c>
      <c r="H48" s="108">
        <f t="shared" si="3"/>
        <v>1967</v>
      </c>
      <c r="I48" s="109" t="str">
        <f t="shared" si="7"/>
        <v/>
      </c>
      <c r="J48" s="109" t="str">
        <f t="shared" ref="J48:X57" si="8">IF(OR(AND($C48="x",J$7-$H48=55),AND($C48=0, J$7-$H48=60)),J$7-$H48,"")</f>
        <v/>
      </c>
      <c r="K48" s="109" t="str">
        <f t="shared" si="8"/>
        <v/>
      </c>
      <c r="L48" s="109" t="str">
        <f t="shared" si="8"/>
        <v/>
      </c>
      <c r="M48" s="109" t="str">
        <f t="shared" si="8"/>
        <v/>
      </c>
      <c r="N48" s="109" t="str">
        <f t="shared" si="8"/>
        <v/>
      </c>
      <c r="O48" s="109" t="str">
        <f t="shared" si="8"/>
        <v/>
      </c>
      <c r="P48" s="109">
        <f t="shared" si="8"/>
        <v>55</v>
      </c>
      <c r="Q48" s="109" t="str">
        <f t="shared" si="8"/>
        <v/>
      </c>
      <c r="R48" s="109" t="str">
        <f t="shared" si="8"/>
        <v/>
      </c>
      <c r="S48" s="109" t="str">
        <f t="shared" si="8"/>
        <v/>
      </c>
      <c r="T48" s="109" t="str">
        <f t="shared" si="8"/>
        <v/>
      </c>
      <c r="U48" s="109" t="str">
        <f t="shared" si="8"/>
        <v/>
      </c>
      <c r="V48" s="109" t="str">
        <f t="shared" si="8"/>
        <v/>
      </c>
      <c r="W48" s="109" t="str">
        <f t="shared" si="8"/>
        <v/>
      </c>
      <c r="X48" s="109" t="str">
        <f t="shared" si="8"/>
        <v/>
      </c>
      <c r="Y48" s="108"/>
    </row>
    <row r="49" spans="1:25" ht="15.75" customHeight="1" x14ac:dyDescent="0.2">
      <c r="A49" s="102">
        <f>IF(B49=0,0,MAX($A$8:A48)+1)</f>
        <v>42</v>
      </c>
      <c r="B49" s="104" t="str">
        <f>NSTonghop!F49</f>
        <v>Võ Trọng Phê</v>
      </c>
      <c r="C49" s="105">
        <f>NSTonghop!G49</f>
        <v>0</v>
      </c>
      <c r="D49" s="106" t="str">
        <f>IF(C49=0,NSTonghop!H49,NSTonghop!I49)</f>
        <v>09/03/1960</v>
      </c>
      <c r="E49" s="107" t="str">
        <f>NSTonghop!AL49</f>
        <v>01/10/1982</v>
      </c>
      <c r="F49" s="107" t="str">
        <f>NSTonghop!AN49</f>
        <v>01/05/1984</v>
      </c>
      <c r="G49" s="88">
        <f t="shared" si="2"/>
        <v>3</v>
      </c>
      <c r="H49" s="108">
        <f t="shared" si="3"/>
        <v>1960</v>
      </c>
      <c r="I49" s="109" t="str">
        <f t="shared" si="7"/>
        <v/>
      </c>
      <c r="J49" s="109" t="str">
        <f t="shared" si="8"/>
        <v/>
      </c>
      <c r="K49" s="109" t="str">
        <f t="shared" si="8"/>
        <v/>
      </c>
      <c r="L49" s="109" t="str">
        <f t="shared" si="8"/>
        <v/>
      </c>
      <c r="M49" s="109" t="str">
        <f t="shared" si="8"/>
        <v/>
      </c>
      <c r="N49" s="109">
        <f t="shared" si="8"/>
        <v>60</v>
      </c>
      <c r="O49" s="109" t="str">
        <f t="shared" si="8"/>
        <v/>
      </c>
      <c r="P49" s="109" t="str">
        <f t="shared" si="8"/>
        <v/>
      </c>
      <c r="Q49" s="109" t="str">
        <f t="shared" si="8"/>
        <v/>
      </c>
      <c r="R49" s="109" t="str">
        <f t="shared" si="8"/>
        <v/>
      </c>
      <c r="S49" s="109" t="str">
        <f t="shared" si="8"/>
        <v/>
      </c>
      <c r="T49" s="109" t="str">
        <f t="shared" si="8"/>
        <v/>
      </c>
      <c r="U49" s="109" t="str">
        <f t="shared" si="8"/>
        <v/>
      </c>
      <c r="V49" s="109" t="str">
        <f t="shared" si="8"/>
        <v/>
      </c>
      <c r="W49" s="109" t="str">
        <f t="shared" si="8"/>
        <v/>
      </c>
      <c r="X49" s="109" t="str">
        <f t="shared" si="8"/>
        <v/>
      </c>
      <c r="Y49" s="108"/>
    </row>
    <row r="50" spans="1:25" ht="15.75" customHeight="1" x14ac:dyDescent="0.2">
      <c r="A50" s="102">
        <f>IF(B50=0,0,MAX($A$8:A49)+1)</f>
        <v>43</v>
      </c>
      <c r="B50" s="104" t="str">
        <f>NSTonghop!F50</f>
        <v>Lê Thị Bích Ngọc</v>
      </c>
      <c r="C50" s="105" t="str">
        <f>NSTonghop!G50</f>
        <v>x</v>
      </c>
      <c r="D50" s="106" t="str">
        <f>IF(C50=0,NSTonghop!H50,NSTonghop!I50)</f>
        <v>08/10/1979</v>
      </c>
      <c r="E50" s="107" t="str">
        <f>NSTonghop!AL50</f>
        <v>01/09/2001</v>
      </c>
      <c r="F50" s="107" t="str">
        <f>NSTonghop!AN50</f>
        <v>01/03/2002</v>
      </c>
      <c r="G50" s="88">
        <f t="shared" si="2"/>
        <v>10</v>
      </c>
      <c r="H50" s="108">
        <f t="shared" si="3"/>
        <v>1979</v>
      </c>
      <c r="I50" s="109" t="str">
        <f t="shared" si="7"/>
        <v/>
      </c>
      <c r="J50" s="109" t="str">
        <f t="shared" si="8"/>
        <v/>
      </c>
      <c r="K50" s="109" t="str">
        <f t="shared" si="8"/>
        <v/>
      </c>
      <c r="L50" s="109" t="str">
        <f t="shared" si="8"/>
        <v/>
      </c>
      <c r="M50" s="109" t="str">
        <f t="shared" si="8"/>
        <v/>
      </c>
      <c r="N50" s="109" t="str">
        <f t="shared" si="8"/>
        <v/>
      </c>
      <c r="O50" s="109" t="str">
        <f t="shared" si="8"/>
        <v/>
      </c>
      <c r="P50" s="109" t="str">
        <f t="shared" si="8"/>
        <v/>
      </c>
      <c r="Q50" s="109" t="str">
        <f t="shared" si="8"/>
        <v/>
      </c>
      <c r="R50" s="109" t="str">
        <f t="shared" si="8"/>
        <v/>
      </c>
      <c r="S50" s="109" t="str">
        <f t="shared" si="8"/>
        <v/>
      </c>
      <c r="T50" s="109" t="str">
        <f t="shared" si="8"/>
        <v/>
      </c>
      <c r="U50" s="109" t="str">
        <f t="shared" si="8"/>
        <v/>
      </c>
      <c r="V50" s="109" t="str">
        <f t="shared" si="8"/>
        <v/>
      </c>
      <c r="W50" s="109" t="str">
        <f t="shared" si="8"/>
        <v/>
      </c>
      <c r="X50" s="109" t="str">
        <f t="shared" si="8"/>
        <v/>
      </c>
      <c r="Y50" s="108"/>
    </row>
    <row r="51" spans="1:25" ht="15.75" customHeight="1" x14ac:dyDescent="0.2">
      <c r="A51" s="102">
        <f>IF(B51=0,0,MAX($A$8:A50)+1)</f>
        <v>44</v>
      </c>
      <c r="B51" s="104" t="str">
        <f>NSTonghop!F51</f>
        <v>Nguyễn Thị Thùy Linh</v>
      </c>
      <c r="C51" s="105" t="str">
        <f>NSTonghop!G51</f>
        <v>x</v>
      </c>
      <c r="D51" s="106" t="str">
        <f>IF(C51=0,NSTonghop!H51,NSTonghop!I51)</f>
        <v>14/07/1980</v>
      </c>
      <c r="E51" s="107" t="str">
        <f>NSTonghop!AL51</f>
        <v>01/09/2002</v>
      </c>
      <c r="F51" s="107" t="str">
        <f>NSTonghop!AN51</f>
        <v>01/03/2003</v>
      </c>
      <c r="G51" s="88">
        <f t="shared" si="2"/>
        <v>7</v>
      </c>
      <c r="H51" s="108">
        <f t="shared" si="3"/>
        <v>1980</v>
      </c>
      <c r="I51" s="109" t="str">
        <f t="shared" si="7"/>
        <v/>
      </c>
      <c r="J51" s="109" t="str">
        <f t="shared" si="8"/>
        <v/>
      </c>
      <c r="K51" s="109" t="str">
        <f t="shared" si="8"/>
        <v/>
      </c>
      <c r="L51" s="109" t="str">
        <f t="shared" si="8"/>
        <v/>
      </c>
      <c r="M51" s="109" t="str">
        <f t="shared" si="8"/>
        <v/>
      </c>
      <c r="N51" s="109" t="str">
        <f t="shared" si="8"/>
        <v/>
      </c>
      <c r="O51" s="109" t="str">
        <f t="shared" si="8"/>
        <v/>
      </c>
      <c r="P51" s="109" t="str">
        <f t="shared" si="8"/>
        <v/>
      </c>
      <c r="Q51" s="109" t="str">
        <f t="shared" si="8"/>
        <v/>
      </c>
      <c r="R51" s="109" t="str">
        <f t="shared" si="8"/>
        <v/>
      </c>
      <c r="S51" s="109" t="str">
        <f t="shared" si="8"/>
        <v/>
      </c>
      <c r="T51" s="109" t="str">
        <f t="shared" si="8"/>
        <v/>
      </c>
      <c r="U51" s="109" t="str">
        <f t="shared" si="8"/>
        <v/>
      </c>
      <c r="V51" s="109" t="str">
        <f t="shared" si="8"/>
        <v/>
      </c>
      <c r="W51" s="109" t="str">
        <f t="shared" si="8"/>
        <v/>
      </c>
      <c r="X51" s="109" t="str">
        <f t="shared" si="8"/>
        <v/>
      </c>
      <c r="Y51" s="108"/>
    </row>
    <row r="52" spans="1:25" ht="15.75" customHeight="1" x14ac:dyDescent="0.2">
      <c r="A52" s="102">
        <f>IF(B52=0,0,MAX($A$8:A51)+1)</f>
        <v>45</v>
      </c>
      <c r="B52" s="104" t="str">
        <f>NSTonghop!F52</f>
        <v>Trịnh Xuân Văn</v>
      </c>
      <c r="C52" s="105">
        <f>NSTonghop!G52</f>
        <v>0</v>
      </c>
      <c r="D52" s="106" t="str">
        <f>IF(C52=0,NSTonghop!H52,NSTonghop!I52)</f>
        <v>27/12/1984</v>
      </c>
      <c r="E52" s="107" t="str">
        <f>NSTonghop!AL52</f>
        <v>01/09/2007</v>
      </c>
      <c r="F52" s="107" t="str">
        <f>NSTonghop!AN52</f>
        <v>01/09/2008</v>
      </c>
      <c r="G52" s="88">
        <f t="shared" si="2"/>
        <v>12</v>
      </c>
      <c r="H52" s="108">
        <f t="shared" si="3"/>
        <v>1984</v>
      </c>
      <c r="I52" s="109" t="str">
        <f t="shared" si="7"/>
        <v/>
      </c>
      <c r="J52" s="109" t="str">
        <f t="shared" si="8"/>
        <v/>
      </c>
      <c r="K52" s="109" t="str">
        <f t="shared" si="8"/>
        <v/>
      </c>
      <c r="L52" s="109" t="str">
        <f t="shared" si="8"/>
        <v/>
      </c>
      <c r="M52" s="109" t="str">
        <f t="shared" si="8"/>
        <v/>
      </c>
      <c r="N52" s="109" t="str">
        <f t="shared" si="8"/>
        <v/>
      </c>
      <c r="O52" s="109" t="str">
        <f t="shared" si="8"/>
        <v/>
      </c>
      <c r="P52" s="109" t="str">
        <f t="shared" si="8"/>
        <v/>
      </c>
      <c r="Q52" s="109" t="str">
        <f t="shared" si="8"/>
        <v/>
      </c>
      <c r="R52" s="109" t="str">
        <f t="shared" si="8"/>
        <v/>
      </c>
      <c r="S52" s="109" t="str">
        <f t="shared" si="8"/>
        <v/>
      </c>
      <c r="T52" s="109" t="str">
        <f t="shared" si="8"/>
        <v/>
      </c>
      <c r="U52" s="109" t="str">
        <f t="shared" si="8"/>
        <v/>
      </c>
      <c r="V52" s="109" t="str">
        <f t="shared" si="8"/>
        <v/>
      </c>
      <c r="W52" s="109" t="str">
        <f t="shared" si="8"/>
        <v/>
      </c>
      <c r="X52" s="109" t="str">
        <f t="shared" si="8"/>
        <v/>
      </c>
      <c r="Y52" s="108"/>
    </row>
    <row r="53" spans="1:25" ht="15.75" customHeight="1" x14ac:dyDescent="0.2">
      <c r="A53" s="102">
        <f>IF(B53=0,0,MAX($A$8:A52)+1)</f>
        <v>46</v>
      </c>
      <c r="B53" s="104" t="str">
        <f>NSTonghop!F53</f>
        <v>Trần Thị Mành</v>
      </c>
      <c r="C53" s="105" t="str">
        <f>NSTonghop!G53</f>
        <v>x</v>
      </c>
      <c r="D53" s="106" t="str">
        <f>IF(C53=0,NSTonghop!H53,NSTonghop!I53)</f>
        <v>24/07/1969</v>
      </c>
      <c r="E53" s="107" t="str">
        <f>NSTonghop!AL53</f>
        <v>15/10/1989</v>
      </c>
      <c r="F53" s="107" t="str">
        <f>NSTonghop!AN53</f>
        <v>15/10/1991</v>
      </c>
      <c r="G53" s="88">
        <f t="shared" si="2"/>
        <v>7</v>
      </c>
      <c r="H53" s="108">
        <f t="shared" si="3"/>
        <v>1969</v>
      </c>
      <c r="I53" s="109" t="str">
        <f t="shared" si="7"/>
        <v/>
      </c>
      <c r="J53" s="109" t="str">
        <f t="shared" si="8"/>
        <v/>
      </c>
      <c r="K53" s="109" t="str">
        <f t="shared" si="8"/>
        <v/>
      </c>
      <c r="L53" s="109" t="str">
        <f t="shared" si="8"/>
        <v/>
      </c>
      <c r="M53" s="109" t="str">
        <f t="shared" si="8"/>
        <v/>
      </c>
      <c r="N53" s="109" t="str">
        <f t="shared" si="8"/>
        <v/>
      </c>
      <c r="O53" s="109" t="str">
        <f t="shared" si="8"/>
        <v/>
      </c>
      <c r="P53" s="109" t="str">
        <f t="shared" si="8"/>
        <v/>
      </c>
      <c r="Q53" s="109" t="str">
        <f t="shared" si="8"/>
        <v/>
      </c>
      <c r="R53" s="109">
        <f t="shared" si="8"/>
        <v>55</v>
      </c>
      <c r="S53" s="109" t="str">
        <f t="shared" si="8"/>
        <v/>
      </c>
      <c r="T53" s="109" t="str">
        <f t="shared" si="8"/>
        <v/>
      </c>
      <c r="U53" s="109" t="str">
        <f t="shared" si="8"/>
        <v/>
      </c>
      <c r="V53" s="109" t="str">
        <f t="shared" si="8"/>
        <v/>
      </c>
      <c r="W53" s="109" t="str">
        <f t="shared" si="8"/>
        <v/>
      </c>
      <c r="X53" s="109" t="str">
        <f t="shared" si="8"/>
        <v/>
      </c>
      <c r="Y53" s="108"/>
    </row>
    <row r="54" spans="1:25" ht="15.75" customHeight="1" x14ac:dyDescent="0.2">
      <c r="A54" s="102">
        <f>IF(B54=0,0,MAX($A$8:A53)+1)</f>
        <v>47</v>
      </c>
      <c r="B54" s="104" t="str">
        <f>NSTonghop!F54</f>
        <v>Cao Thị Uyên Thanh</v>
      </c>
      <c r="C54" s="105" t="str">
        <f>NSTonghop!G54</f>
        <v>x</v>
      </c>
      <c r="D54" s="106" t="str">
        <f>IF(C54=0,NSTonghop!H54,NSTonghop!I54)</f>
        <v>10/03/1969</v>
      </c>
      <c r="E54" s="107" t="str">
        <f>NSTonghop!AL54</f>
        <v>01/09/1988</v>
      </c>
      <c r="F54" s="107" t="str">
        <f>NSTonghop!AN54</f>
        <v>20/12/1990</v>
      </c>
      <c r="G54" s="88">
        <f t="shared" si="2"/>
        <v>3</v>
      </c>
      <c r="H54" s="108">
        <f t="shared" si="3"/>
        <v>1969</v>
      </c>
      <c r="I54" s="109" t="str">
        <f t="shared" si="7"/>
        <v/>
      </c>
      <c r="J54" s="109" t="str">
        <f t="shared" si="8"/>
        <v/>
      </c>
      <c r="K54" s="109" t="str">
        <f t="shared" si="8"/>
        <v/>
      </c>
      <c r="L54" s="109" t="str">
        <f t="shared" si="8"/>
        <v/>
      </c>
      <c r="M54" s="109" t="str">
        <f t="shared" si="8"/>
        <v/>
      </c>
      <c r="N54" s="109" t="str">
        <f t="shared" si="8"/>
        <v/>
      </c>
      <c r="O54" s="109" t="str">
        <f t="shared" si="8"/>
        <v/>
      </c>
      <c r="P54" s="109" t="str">
        <f t="shared" si="8"/>
        <v/>
      </c>
      <c r="Q54" s="109" t="str">
        <f t="shared" si="8"/>
        <v/>
      </c>
      <c r="R54" s="109">
        <f t="shared" si="8"/>
        <v>55</v>
      </c>
      <c r="S54" s="109" t="str">
        <f t="shared" si="8"/>
        <v/>
      </c>
      <c r="T54" s="109" t="str">
        <f t="shared" si="8"/>
        <v/>
      </c>
      <c r="U54" s="109" t="str">
        <f t="shared" si="8"/>
        <v/>
      </c>
      <c r="V54" s="109" t="str">
        <f t="shared" si="8"/>
        <v/>
      </c>
      <c r="W54" s="109" t="str">
        <f t="shared" si="8"/>
        <v/>
      </c>
      <c r="X54" s="109" t="str">
        <f t="shared" si="8"/>
        <v/>
      </c>
      <c r="Y54" s="108"/>
    </row>
    <row r="55" spans="1:25" ht="15.75" customHeight="1" x14ac:dyDescent="0.2">
      <c r="A55" s="102">
        <f>IF(B55=0,0,MAX($A$8:A54)+1)</f>
        <v>48</v>
      </c>
      <c r="B55" s="104" t="str">
        <f>NSTonghop!F55</f>
        <v>Lê Thị Hương Trang</v>
      </c>
      <c r="C55" s="105" t="str">
        <f>NSTonghop!G55</f>
        <v>x</v>
      </c>
      <c r="D55" s="106" t="str">
        <f>IF(C55=0,NSTonghop!H55,NSTonghop!I55)</f>
        <v>03/01/1982</v>
      </c>
      <c r="E55" s="107" t="str">
        <f>NSTonghop!AL55</f>
        <v>01/09/2003</v>
      </c>
      <c r="F55" s="107" t="str">
        <f>NSTonghop!AN55</f>
        <v>01/03/2004</v>
      </c>
      <c r="G55" s="88">
        <f t="shared" si="2"/>
        <v>1</v>
      </c>
      <c r="H55" s="108">
        <f t="shared" si="3"/>
        <v>1982</v>
      </c>
      <c r="I55" s="109" t="str">
        <f t="shared" si="7"/>
        <v/>
      </c>
      <c r="J55" s="109" t="str">
        <f t="shared" si="8"/>
        <v/>
      </c>
      <c r="K55" s="109" t="str">
        <f t="shared" si="8"/>
        <v/>
      </c>
      <c r="L55" s="109" t="str">
        <f t="shared" si="8"/>
        <v/>
      </c>
      <c r="M55" s="109" t="str">
        <f t="shared" si="8"/>
        <v/>
      </c>
      <c r="N55" s="109" t="str">
        <f t="shared" si="8"/>
        <v/>
      </c>
      <c r="O55" s="109" t="str">
        <f t="shared" si="8"/>
        <v/>
      </c>
      <c r="P55" s="109" t="str">
        <f t="shared" si="8"/>
        <v/>
      </c>
      <c r="Q55" s="109" t="str">
        <f t="shared" si="8"/>
        <v/>
      </c>
      <c r="R55" s="109" t="str">
        <f t="shared" si="8"/>
        <v/>
      </c>
      <c r="S55" s="109" t="str">
        <f t="shared" si="8"/>
        <v/>
      </c>
      <c r="T55" s="109" t="str">
        <f t="shared" si="8"/>
        <v/>
      </c>
      <c r="U55" s="109" t="str">
        <f t="shared" si="8"/>
        <v/>
      </c>
      <c r="V55" s="109" t="str">
        <f t="shared" si="8"/>
        <v/>
      </c>
      <c r="W55" s="109" t="str">
        <f t="shared" si="8"/>
        <v/>
      </c>
      <c r="X55" s="109" t="str">
        <f t="shared" si="8"/>
        <v/>
      </c>
      <c r="Y55" s="108"/>
    </row>
    <row r="56" spans="1:25" ht="15.75" customHeight="1" x14ac:dyDescent="0.2">
      <c r="A56" s="102">
        <f>IF(B56=0,0,MAX($A$8:A55)+1)</f>
        <v>49</v>
      </c>
      <c r="B56" s="104" t="str">
        <f>NSTonghop!F56</f>
        <v>Trần Thiện Ý</v>
      </c>
      <c r="C56" s="105">
        <f>NSTonghop!G56</f>
        <v>0</v>
      </c>
      <c r="D56" s="106" t="str">
        <f>IF(C56=0,NSTonghop!H56,NSTonghop!I56)</f>
        <v>16/06/1986</v>
      </c>
      <c r="E56" s="107" t="str">
        <f>NSTonghop!AL56</f>
        <v>01/09/2009</v>
      </c>
      <c r="F56" s="107" t="str">
        <f>NSTonghop!AN56</f>
        <v>01/09/2010</v>
      </c>
      <c r="G56" s="88">
        <f t="shared" si="2"/>
        <v>6</v>
      </c>
      <c r="H56" s="108">
        <f t="shared" si="3"/>
        <v>1986</v>
      </c>
      <c r="I56" s="109" t="str">
        <f t="shared" si="7"/>
        <v/>
      </c>
      <c r="J56" s="109" t="str">
        <f t="shared" si="8"/>
        <v/>
      </c>
      <c r="K56" s="109" t="str">
        <f t="shared" si="8"/>
        <v/>
      </c>
      <c r="L56" s="109" t="str">
        <f t="shared" si="8"/>
        <v/>
      </c>
      <c r="M56" s="109" t="str">
        <f t="shared" si="8"/>
        <v/>
      </c>
      <c r="N56" s="109" t="str">
        <f t="shared" si="8"/>
        <v/>
      </c>
      <c r="O56" s="109" t="str">
        <f t="shared" si="8"/>
        <v/>
      </c>
      <c r="P56" s="109" t="str">
        <f t="shared" si="8"/>
        <v/>
      </c>
      <c r="Q56" s="109" t="str">
        <f t="shared" si="8"/>
        <v/>
      </c>
      <c r="R56" s="109" t="str">
        <f t="shared" si="8"/>
        <v/>
      </c>
      <c r="S56" s="109" t="str">
        <f t="shared" si="8"/>
        <v/>
      </c>
      <c r="T56" s="109" t="str">
        <f t="shared" si="8"/>
        <v/>
      </c>
      <c r="U56" s="109" t="str">
        <f t="shared" si="8"/>
        <v/>
      </c>
      <c r="V56" s="109" t="str">
        <f t="shared" si="8"/>
        <v/>
      </c>
      <c r="W56" s="109" t="str">
        <f t="shared" si="8"/>
        <v/>
      </c>
      <c r="X56" s="109" t="str">
        <f t="shared" si="8"/>
        <v/>
      </c>
      <c r="Y56" s="108"/>
    </row>
    <row r="57" spans="1:25" ht="15.75" customHeight="1" x14ac:dyDescent="0.2">
      <c r="A57" s="102">
        <f>IF(B57=0,0,MAX($A$8:A56)+1)</f>
        <v>50</v>
      </c>
      <c r="B57" s="104" t="str">
        <f>NSTonghop!F57</f>
        <v>Đoàn Tô Ngọc Hương</v>
      </c>
      <c r="C57" s="105" t="str">
        <f>NSTonghop!G57</f>
        <v>x</v>
      </c>
      <c r="D57" s="106" t="str">
        <f>IF(C57=0,NSTonghop!H57,NSTonghop!I57)</f>
        <v>28/07/1981</v>
      </c>
      <c r="E57" s="107" t="str">
        <f>NSTonghop!AL57</f>
        <v>01/09/2003</v>
      </c>
      <c r="F57" s="107" t="str">
        <f>NSTonghop!AN57</f>
        <v>01/03/2004</v>
      </c>
      <c r="G57" s="88">
        <f t="shared" si="2"/>
        <v>7</v>
      </c>
      <c r="H57" s="108">
        <f t="shared" si="3"/>
        <v>1981</v>
      </c>
      <c r="I57" s="109" t="str">
        <f t="shared" si="7"/>
        <v/>
      </c>
      <c r="J57" s="109" t="str">
        <f t="shared" si="8"/>
        <v/>
      </c>
      <c r="K57" s="109" t="str">
        <f t="shared" si="8"/>
        <v/>
      </c>
      <c r="L57" s="109" t="str">
        <f t="shared" si="8"/>
        <v/>
      </c>
      <c r="M57" s="109" t="str">
        <f t="shared" si="8"/>
        <v/>
      </c>
      <c r="N57" s="109" t="str">
        <f t="shared" si="8"/>
        <v/>
      </c>
      <c r="O57" s="109" t="str">
        <f t="shared" si="8"/>
        <v/>
      </c>
      <c r="P57" s="109" t="str">
        <f t="shared" si="8"/>
        <v/>
      </c>
      <c r="Q57" s="109" t="str">
        <f t="shared" si="8"/>
        <v/>
      </c>
      <c r="R57" s="109" t="str">
        <f t="shared" si="8"/>
        <v/>
      </c>
      <c r="S57" s="109" t="str">
        <f t="shared" si="8"/>
        <v/>
      </c>
      <c r="T57" s="109" t="str">
        <f t="shared" si="8"/>
        <v/>
      </c>
      <c r="U57" s="109" t="str">
        <f t="shared" si="8"/>
        <v/>
      </c>
      <c r="V57" s="109" t="str">
        <f t="shared" si="8"/>
        <v/>
      </c>
      <c r="W57" s="109" t="str">
        <f t="shared" si="8"/>
        <v/>
      </c>
      <c r="X57" s="109" t="str">
        <f t="shared" si="8"/>
        <v/>
      </c>
      <c r="Y57" s="108"/>
    </row>
    <row r="58" spans="1:25" ht="15.75" customHeight="1" x14ac:dyDescent="0.2">
      <c r="A58" s="102">
        <f>IF(B58=0,0,MAX($A$8:A57)+1)</f>
        <v>51</v>
      </c>
      <c r="B58" s="104" t="str">
        <f>NSTonghop!F58</f>
        <v>Huỳnh Thị Bích Vân</v>
      </c>
      <c r="C58" s="105" t="str">
        <f>NSTonghop!G58</f>
        <v>x</v>
      </c>
      <c r="D58" s="106" t="str">
        <f>IF(C58=0,NSTonghop!H58,NSTonghop!I58)</f>
        <v>29/06/1966</v>
      </c>
      <c r="E58" s="107" t="str">
        <f>NSTonghop!AL58</f>
        <v>01/09/1988</v>
      </c>
      <c r="F58" s="107" t="str">
        <f>NSTonghop!AN58</f>
        <v>01/10/1991</v>
      </c>
      <c r="G58" s="88">
        <f t="shared" si="2"/>
        <v>6</v>
      </c>
      <c r="H58" s="108">
        <f t="shared" si="3"/>
        <v>1966</v>
      </c>
      <c r="I58" s="109" t="str">
        <f t="shared" si="7"/>
        <v/>
      </c>
      <c r="J58" s="109" t="str">
        <f t="shared" ref="J58:X67" si="9">IF(OR(AND($C58="x",J$7-$H58=55),AND($C58=0, J$7-$H58=60)),J$7-$H58,"")</f>
        <v/>
      </c>
      <c r="K58" s="109" t="str">
        <f t="shared" si="9"/>
        <v/>
      </c>
      <c r="L58" s="109" t="str">
        <f t="shared" si="9"/>
        <v/>
      </c>
      <c r="M58" s="109" t="str">
        <f t="shared" si="9"/>
        <v/>
      </c>
      <c r="N58" s="109" t="str">
        <f t="shared" si="9"/>
        <v/>
      </c>
      <c r="O58" s="109">
        <f t="shared" si="9"/>
        <v>55</v>
      </c>
      <c r="P58" s="109" t="str">
        <f t="shared" si="9"/>
        <v/>
      </c>
      <c r="Q58" s="109" t="str">
        <f t="shared" si="9"/>
        <v/>
      </c>
      <c r="R58" s="109" t="str">
        <f t="shared" si="9"/>
        <v/>
      </c>
      <c r="S58" s="109" t="str">
        <f t="shared" si="9"/>
        <v/>
      </c>
      <c r="T58" s="109" t="str">
        <f t="shared" si="9"/>
        <v/>
      </c>
      <c r="U58" s="109" t="str">
        <f t="shared" si="9"/>
        <v/>
      </c>
      <c r="V58" s="109" t="str">
        <f t="shared" si="9"/>
        <v/>
      </c>
      <c r="W58" s="109" t="str">
        <f t="shared" si="9"/>
        <v/>
      </c>
      <c r="X58" s="109" t="str">
        <f t="shared" si="9"/>
        <v/>
      </c>
      <c r="Y58" s="108"/>
    </row>
    <row r="59" spans="1:25" ht="15.75" customHeight="1" x14ac:dyDescent="0.2">
      <c r="A59" s="102">
        <f>IF(B59=0,0,MAX($A$8:A58)+1)</f>
        <v>52</v>
      </c>
      <c r="B59" s="104" t="str">
        <f>NSTonghop!F59</f>
        <v>Phạm Minh Hiếu</v>
      </c>
      <c r="C59" s="105">
        <f>NSTonghop!G59</f>
        <v>0</v>
      </c>
      <c r="D59" s="106" t="str">
        <f>IF(C59=0,NSTonghop!H59,NSTonghop!I59)</f>
        <v>09/02/1979</v>
      </c>
      <c r="E59" s="107" t="str">
        <f>NSTonghop!AL59</f>
        <v>01/09/1999</v>
      </c>
      <c r="F59" s="107" t="str">
        <f>NSTonghop!AN59</f>
        <v>01/04/2000</v>
      </c>
      <c r="G59" s="88">
        <f t="shared" si="2"/>
        <v>2</v>
      </c>
      <c r="H59" s="108">
        <f t="shared" si="3"/>
        <v>1979</v>
      </c>
      <c r="I59" s="109" t="str">
        <f t="shared" si="7"/>
        <v/>
      </c>
      <c r="J59" s="109" t="str">
        <f t="shared" si="9"/>
        <v/>
      </c>
      <c r="K59" s="109" t="str">
        <f t="shared" si="9"/>
        <v/>
      </c>
      <c r="L59" s="109" t="str">
        <f t="shared" si="9"/>
        <v/>
      </c>
      <c r="M59" s="109" t="str">
        <f t="shared" si="9"/>
        <v/>
      </c>
      <c r="N59" s="109" t="str">
        <f t="shared" si="9"/>
        <v/>
      </c>
      <c r="O59" s="109" t="str">
        <f t="shared" si="9"/>
        <v/>
      </c>
      <c r="P59" s="109" t="str">
        <f t="shared" si="9"/>
        <v/>
      </c>
      <c r="Q59" s="109" t="str">
        <f t="shared" si="9"/>
        <v/>
      </c>
      <c r="R59" s="109" t="str">
        <f t="shared" si="9"/>
        <v/>
      </c>
      <c r="S59" s="109" t="str">
        <f t="shared" si="9"/>
        <v/>
      </c>
      <c r="T59" s="109" t="str">
        <f t="shared" si="9"/>
        <v/>
      </c>
      <c r="U59" s="109" t="str">
        <f t="shared" si="9"/>
        <v/>
      </c>
      <c r="V59" s="109" t="str">
        <f t="shared" si="9"/>
        <v/>
      </c>
      <c r="W59" s="109" t="str">
        <f t="shared" si="9"/>
        <v/>
      </c>
      <c r="X59" s="109" t="str">
        <f t="shared" si="9"/>
        <v/>
      </c>
      <c r="Y59" s="108"/>
    </row>
    <row r="60" spans="1:25" ht="15.75" hidden="1" customHeight="1" x14ac:dyDescent="0.2">
      <c r="A60" s="102">
        <f>IF(B60=0,0,MAX($A$8:A59)+1)</f>
        <v>53</v>
      </c>
      <c r="B60" s="104" t="str">
        <f>NSTonghop!F60</f>
        <v>Phạm Thị Hồng</v>
      </c>
      <c r="C60" s="105" t="str">
        <f>NSTonghop!G60</f>
        <v>x</v>
      </c>
      <c r="D60" s="106" t="str">
        <f>IF(C60=0,NSTonghop!H60,NSTonghop!I60)</f>
        <v>24/05/1966</v>
      </c>
      <c r="E60" s="107" t="str">
        <f>NSTonghop!AL60</f>
        <v>01/09/1988</v>
      </c>
      <c r="F60" s="107" t="str">
        <f>NSTonghop!AN60</f>
        <v>01/05/1990</v>
      </c>
      <c r="G60" s="88">
        <f t="shared" si="2"/>
        <v>5</v>
      </c>
      <c r="H60" s="108">
        <f t="shared" si="3"/>
        <v>1966</v>
      </c>
      <c r="I60" s="109" t="str">
        <f t="shared" si="7"/>
        <v/>
      </c>
      <c r="J60" s="109" t="str">
        <f t="shared" si="9"/>
        <v/>
      </c>
      <c r="K60" s="109" t="str">
        <f t="shared" si="9"/>
        <v/>
      </c>
      <c r="L60" s="109" t="str">
        <f t="shared" si="9"/>
        <v/>
      </c>
      <c r="M60" s="109" t="str">
        <f t="shared" si="9"/>
        <v/>
      </c>
      <c r="N60" s="109" t="str">
        <f t="shared" si="9"/>
        <v/>
      </c>
      <c r="O60" s="109">
        <f t="shared" si="9"/>
        <v>55</v>
      </c>
      <c r="P60" s="109" t="str">
        <f t="shared" si="9"/>
        <v/>
      </c>
      <c r="Q60" s="109" t="str">
        <f t="shared" si="9"/>
        <v/>
      </c>
      <c r="R60" s="109" t="str">
        <f t="shared" si="9"/>
        <v/>
      </c>
      <c r="S60" s="109" t="str">
        <f t="shared" si="9"/>
        <v/>
      </c>
      <c r="T60" s="109" t="str">
        <f t="shared" si="9"/>
        <v/>
      </c>
      <c r="U60" s="109" t="str">
        <f t="shared" si="9"/>
        <v/>
      </c>
      <c r="V60" s="109" t="str">
        <f t="shared" si="9"/>
        <v/>
      </c>
      <c r="W60" s="109" t="str">
        <f t="shared" si="9"/>
        <v/>
      </c>
      <c r="X60" s="109" t="str">
        <f t="shared" si="9"/>
        <v/>
      </c>
      <c r="Y60" s="108"/>
    </row>
    <row r="61" spans="1:25" ht="15.75" customHeight="1" x14ac:dyDescent="0.2">
      <c r="A61" s="102">
        <f>IF(B61=0,0,MAX($A$8:A60)+1)</f>
        <v>54</v>
      </c>
      <c r="B61" s="104" t="str">
        <f>NSTonghop!F61</f>
        <v>Nguyễn Thị Hồng Gấm</v>
      </c>
      <c r="C61" s="105" t="str">
        <f>NSTonghop!G61</f>
        <v>x</v>
      </c>
      <c r="D61" s="106" t="str">
        <f>IF(C61=0,NSTonghop!H61,NSTonghop!I61)</f>
        <v>14/12/1991</v>
      </c>
      <c r="E61" s="107">
        <f>NSTonghop!AL61</f>
        <v>0</v>
      </c>
      <c r="F61" s="107">
        <f>NSTonghop!AN61</f>
        <v>0</v>
      </c>
      <c r="G61" s="88">
        <f t="shared" si="2"/>
        <v>12</v>
      </c>
      <c r="H61" s="108">
        <f t="shared" si="3"/>
        <v>1991</v>
      </c>
      <c r="I61" s="109" t="str">
        <f t="shared" si="7"/>
        <v/>
      </c>
      <c r="J61" s="109" t="str">
        <f t="shared" si="9"/>
        <v/>
      </c>
      <c r="K61" s="109" t="str">
        <f t="shared" si="9"/>
        <v/>
      </c>
      <c r="L61" s="109" t="str">
        <f t="shared" si="9"/>
        <v/>
      </c>
      <c r="M61" s="109" t="str">
        <f t="shared" si="9"/>
        <v/>
      </c>
      <c r="N61" s="109" t="str">
        <f t="shared" si="9"/>
        <v/>
      </c>
      <c r="O61" s="109" t="str">
        <f t="shared" si="9"/>
        <v/>
      </c>
      <c r="P61" s="109" t="str">
        <f t="shared" si="9"/>
        <v/>
      </c>
      <c r="Q61" s="109" t="str">
        <f t="shared" si="9"/>
        <v/>
      </c>
      <c r="R61" s="109" t="str">
        <f t="shared" si="9"/>
        <v/>
      </c>
      <c r="S61" s="109" t="str">
        <f t="shared" si="9"/>
        <v/>
      </c>
      <c r="T61" s="109" t="str">
        <f t="shared" si="9"/>
        <v/>
      </c>
      <c r="U61" s="109" t="str">
        <f t="shared" si="9"/>
        <v/>
      </c>
      <c r="V61" s="109" t="str">
        <f t="shared" si="9"/>
        <v/>
      </c>
      <c r="W61" s="109" t="str">
        <f t="shared" si="9"/>
        <v/>
      </c>
      <c r="X61" s="109" t="str">
        <f t="shared" si="9"/>
        <v/>
      </c>
      <c r="Y61" s="108"/>
    </row>
    <row r="62" spans="1:25" ht="15.75" customHeight="1" x14ac:dyDescent="0.2">
      <c r="A62" s="102">
        <f>IF(B62=0,0,MAX($A$8:A61)+1)</f>
        <v>55</v>
      </c>
      <c r="B62" s="104" t="str">
        <f>NSTonghop!F62</f>
        <v>Trần Thị Ngọc Hiền</v>
      </c>
      <c r="C62" s="105" t="str">
        <f>NSTonghop!G62</f>
        <v>x</v>
      </c>
      <c r="D62" s="106" t="str">
        <f>IF(C62=0,NSTonghop!H62,NSTonghop!I62)</f>
        <v>16/07/1989</v>
      </c>
      <c r="E62" s="107" t="str">
        <f>NSTonghop!AL62</f>
        <v>01/09/2012</v>
      </c>
      <c r="F62" s="107" t="str">
        <f>NSTonghop!AN62</f>
        <v>01/09/2013</v>
      </c>
      <c r="G62" s="88">
        <f t="shared" si="2"/>
        <v>7</v>
      </c>
      <c r="H62" s="108">
        <f t="shared" si="3"/>
        <v>1989</v>
      </c>
      <c r="I62" s="109" t="str">
        <f t="shared" si="7"/>
        <v/>
      </c>
      <c r="J62" s="109" t="str">
        <f t="shared" si="9"/>
        <v/>
      </c>
      <c r="K62" s="109" t="str">
        <f t="shared" si="9"/>
        <v/>
      </c>
      <c r="L62" s="109" t="str">
        <f t="shared" si="9"/>
        <v/>
      </c>
      <c r="M62" s="109" t="str">
        <f t="shared" si="9"/>
        <v/>
      </c>
      <c r="N62" s="109" t="str">
        <f t="shared" si="9"/>
        <v/>
      </c>
      <c r="O62" s="109" t="str">
        <f t="shared" si="9"/>
        <v/>
      </c>
      <c r="P62" s="109" t="str">
        <f t="shared" si="9"/>
        <v/>
      </c>
      <c r="Q62" s="109" t="str">
        <f t="shared" si="9"/>
        <v/>
      </c>
      <c r="R62" s="109" t="str">
        <f t="shared" si="9"/>
        <v/>
      </c>
      <c r="S62" s="109" t="str">
        <f t="shared" si="9"/>
        <v/>
      </c>
      <c r="T62" s="109" t="str">
        <f t="shared" si="9"/>
        <v/>
      </c>
      <c r="U62" s="109" t="str">
        <f t="shared" si="9"/>
        <v/>
      </c>
      <c r="V62" s="109" t="str">
        <f t="shared" si="9"/>
        <v/>
      </c>
      <c r="W62" s="109" t="str">
        <f t="shared" si="9"/>
        <v/>
      </c>
      <c r="X62" s="109" t="str">
        <f t="shared" si="9"/>
        <v/>
      </c>
      <c r="Y62" s="108"/>
    </row>
    <row r="63" spans="1:25" ht="15.75" hidden="1" customHeight="1" x14ac:dyDescent="0.2">
      <c r="A63" s="102">
        <f>IF(B63=0,0,MAX($A$8:A62)+1)</f>
        <v>56</v>
      </c>
      <c r="B63" s="104" t="str">
        <f>NSTonghop!F63</f>
        <v>Lê Văn Có</v>
      </c>
      <c r="C63" s="105">
        <f>NSTonghop!G63</f>
        <v>0</v>
      </c>
      <c r="D63" s="106" t="str">
        <f>IF(C63=0,NSTonghop!H63,NSTonghop!I63)</f>
        <v>05/11/1987</v>
      </c>
      <c r="E63" s="107" t="str">
        <f>NSTonghop!AL63</f>
        <v>01/09/2009</v>
      </c>
      <c r="F63" s="107" t="str">
        <f>NSTonghop!AN63</f>
        <v>01/09/2010</v>
      </c>
      <c r="G63" s="88">
        <f t="shared" si="2"/>
        <v>11</v>
      </c>
      <c r="H63" s="108">
        <f t="shared" si="3"/>
        <v>1987</v>
      </c>
      <c r="I63" s="109" t="str">
        <f t="shared" si="7"/>
        <v/>
      </c>
      <c r="J63" s="109" t="str">
        <f t="shared" si="9"/>
        <v/>
      </c>
      <c r="K63" s="109" t="str">
        <f t="shared" si="9"/>
        <v/>
      </c>
      <c r="L63" s="109" t="str">
        <f t="shared" si="9"/>
        <v/>
      </c>
      <c r="M63" s="109" t="str">
        <f t="shared" si="9"/>
        <v/>
      </c>
      <c r="N63" s="109" t="str">
        <f t="shared" si="9"/>
        <v/>
      </c>
      <c r="O63" s="109" t="str">
        <f t="shared" si="9"/>
        <v/>
      </c>
      <c r="P63" s="109" t="str">
        <f t="shared" si="9"/>
        <v/>
      </c>
      <c r="Q63" s="109" t="str">
        <f t="shared" si="9"/>
        <v/>
      </c>
      <c r="R63" s="109" t="str">
        <f t="shared" si="9"/>
        <v/>
      </c>
      <c r="S63" s="109" t="str">
        <f t="shared" si="9"/>
        <v/>
      </c>
      <c r="T63" s="109" t="str">
        <f t="shared" si="9"/>
        <v/>
      </c>
      <c r="U63" s="109" t="str">
        <f t="shared" si="9"/>
        <v/>
      </c>
      <c r="V63" s="109" t="str">
        <f t="shared" si="9"/>
        <v/>
      </c>
      <c r="W63" s="109" t="str">
        <f t="shared" si="9"/>
        <v/>
      </c>
      <c r="X63" s="109" t="str">
        <f t="shared" si="9"/>
        <v/>
      </c>
      <c r="Y63" s="108"/>
    </row>
    <row r="64" spans="1:25" ht="15.75" customHeight="1" x14ac:dyDescent="0.2">
      <c r="A64" s="102">
        <f>IF(B64=0,0,MAX($A$8:A63)+1)</f>
        <v>57</v>
      </c>
      <c r="B64" s="104" t="str">
        <f>NSTonghop!F64</f>
        <v>Lê Văn Thân</v>
      </c>
      <c r="C64" s="105">
        <f>NSTonghop!G64</f>
        <v>0</v>
      </c>
      <c r="D64" s="106" t="str">
        <f>IF(C64=0,NSTonghop!H64,NSTonghop!I64)</f>
        <v>18/11/1991</v>
      </c>
      <c r="E64" s="107" t="str">
        <f>NSTonghop!AL64</f>
        <v>01/09/2013</v>
      </c>
      <c r="F64" s="107" t="str">
        <f>NSTonghop!AN64</f>
        <v>01/09/2014</v>
      </c>
      <c r="G64" s="88">
        <f t="shared" si="2"/>
        <v>11</v>
      </c>
      <c r="H64" s="108">
        <f t="shared" si="3"/>
        <v>1991</v>
      </c>
      <c r="I64" s="109" t="str">
        <f t="shared" si="7"/>
        <v/>
      </c>
      <c r="J64" s="109" t="str">
        <f t="shared" si="9"/>
        <v/>
      </c>
      <c r="K64" s="109" t="str">
        <f t="shared" si="9"/>
        <v/>
      </c>
      <c r="L64" s="109" t="str">
        <f t="shared" si="9"/>
        <v/>
      </c>
      <c r="M64" s="109" t="str">
        <f t="shared" si="9"/>
        <v/>
      </c>
      <c r="N64" s="109" t="str">
        <f t="shared" si="9"/>
        <v/>
      </c>
      <c r="O64" s="109" t="str">
        <f t="shared" si="9"/>
        <v/>
      </c>
      <c r="P64" s="109" t="str">
        <f t="shared" si="9"/>
        <v/>
      </c>
      <c r="Q64" s="109" t="str">
        <f t="shared" si="9"/>
        <v/>
      </c>
      <c r="R64" s="109" t="str">
        <f t="shared" si="9"/>
        <v/>
      </c>
      <c r="S64" s="109" t="str">
        <f t="shared" si="9"/>
        <v/>
      </c>
      <c r="T64" s="109" t="str">
        <f t="shared" si="9"/>
        <v/>
      </c>
      <c r="U64" s="109" t="str">
        <f t="shared" si="9"/>
        <v/>
      </c>
      <c r="V64" s="109" t="str">
        <f t="shared" si="9"/>
        <v/>
      </c>
      <c r="W64" s="109" t="str">
        <f t="shared" si="9"/>
        <v/>
      </c>
      <c r="X64" s="109" t="str">
        <f t="shared" si="9"/>
        <v/>
      </c>
      <c r="Y64" s="108"/>
    </row>
    <row r="65" spans="1:25" ht="15.75" hidden="1" customHeight="1" x14ac:dyDescent="0.2">
      <c r="A65" s="102">
        <f>IF(B65=0,0,MAX($A$8:A64)+1)</f>
        <v>58</v>
      </c>
      <c r="B65" s="104" t="str">
        <f>NSTonghop!F65</f>
        <v>Nguyễn Thị Kim Út</v>
      </c>
      <c r="C65" s="105" t="str">
        <f>NSTonghop!G65</f>
        <v>x</v>
      </c>
      <c r="D65" s="106" t="str">
        <f>IF(C65=0,NSTonghop!H65,NSTonghop!I65)</f>
        <v>09/06/1990</v>
      </c>
      <c r="E65" s="107" t="str">
        <f>NSTonghop!AL65</f>
        <v>01/09/2013</v>
      </c>
      <c r="F65" s="107" t="str">
        <f>NSTonghop!AN65</f>
        <v>01/09/2014</v>
      </c>
      <c r="G65" s="88">
        <f t="shared" si="2"/>
        <v>6</v>
      </c>
      <c r="H65" s="108">
        <f t="shared" si="3"/>
        <v>1990</v>
      </c>
      <c r="I65" s="109" t="str">
        <f t="shared" si="7"/>
        <v/>
      </c>
      <c r="J65" s="109" t="str">
        <f t="shared" si="9"/>
        <v/>
      </c>
      <c r="K65" s="109" t="str">
        <f t="shared" si="9"/>
        <v/>
      </c>
      <c r="L65" s="109" t="str">
        <f t="shared" si="9"/>
        <v/>
      </c>
      <c r="M65" s="109" t="str">
        <f t="shared" si="9"/>
        <v/>
      </c>
      <c r="N65" s="109" t="str">
        <f t="shared" si="9"/>
        <v/>
      </c>
      <c r="O65" s="109" t="str">
        <f t="shared" si="9"/>
        <v/>
      </c>
      <c r="P65" s="109" t="str">
        <f t="shared" si="9"/>
        <v/>
      </c>
      <c r="Q65" s="109" t="str">
        <f t="shared" si="9"/>
        <v/>
      </c>
      <c r="R65" s="109" t="str">
        <f t="shared" si="9"/>
        <v/>
      </c>
      <c r="S65" s="109" t="str">
        <f t="shared" si="9"/>
        <v/>
      </c>
      <c r="T65" s="109" t="str">
        <f t="shared" si="9"/>
        <v/>
      </c>
      <c r="U65" s="109" t="str">
        <f t="shared" si="9"/>
        <v/>
      </c>
      <c r="V65" s="109" t="str">
        <f t="shared" si="9"/>
        <v/>
      </c>
      <c r="W65" s="109" t="str">
        <f t="shared" si="9"/>
        <v/>
      </c>
      <c r="X65" s="109" t="str">
        <f t="shared" si="9"/>
        <v/>
      </c>
      <c r="Y65" s="108"/>
    </row>
    <row r="66" spans="1:25" ht="15.75" hidden="1" customHeight="1" x14ac:dyDescent="0.2">
      <c r="A66" s="102">
        <f>IF(B66=0,0,MAX($A$8:A65)+1)</f>
        <v>59</v>
      </c>
      <c r="B66" s="104" t="str">
        <f>NSTonghop!F66</f>
        <v>Lê An Bình</v>
      </c>
      <c r="C66" s="105">
        <f>NSTonghop!G66</f>
        <v>0</v>
      </c>
      <c r="D66" s="106" t="str">
        <f>IF(C66=0,NSTonghop!H66,NSTonghop!I66)</f>
        <v>07/12/1987</v>
      </c>
      <c r="E66" s="107" t="str">
        <f>NSTonghop!AL66</f>
        <v>01/9/2011</v>
      </c>
      <c r="F66" s="107" t="str">
        <f>NSTonghop!AN66</f>
        <v>01/9/2012</v>
      </c>
      <c r="G66" s="88">
        <f t="shared" si="2"/>
        <v>12</v>
      </c>
      <c r="H66" s="108">
        <f t="shared" si="3"/>
        <v>1987</v>
      </c>
      <c r="I66" s="109" t="str">
        <f t="shared" si="7"/>
        <v/>
      </c>
      <c r="J66" s="109" t="str">
        <f t="shared" si="9"/>
        <v/>
      </c>
      <c r="K66" s="109" t="str">
        <f t="shared" si="9"/>
        <v/>
      </c>
      <c r="L66" s="109" t="str">
        <f t="shared" si="9"/>
        <v/>
      </c>
      <c r="M66" s="109" t="str">
        <f t="shared" si="9"/>
        <v/>
      </c>
      <c r="N66" s="109" t="str">
        <f t="shared" si="9"/>
        <v/>
      </c>
      <c r="O66" s="109" t="str">
        <f t="shared" si="9"/>
        <v/>
      </c>
      <c r="P66" s="109" t="str">
        <f t="shared" si="9"/>
        <v/>
      </c>
      <c r="Q66" s="109" t="str">
        <f t="shared" si="9"/>
        <v/>
      </c>
      <c r="R66" s="109" t="str">
        <f t="shared" si="9"/>
        <v/>
      </c>
      <c r="S66" s="109" t="str">
        <f t="shared" si="9"/>
        <v/>
      </c>
      <c r="T66" s="109" t="str">
        <f t="shared" si="9"/>
        <v/>
      </c>
      <c r="U66" s="109" t="str">
        <f t="shared" si="9"/>
        <v/>
      </c>
      <c r="V66" s="109" t="str">
        <f t="shared" si="9"/>
        <v/>
      </c>
      <c r="W66" s="109" t="str">
        <f t="shared" si="9"/>
        <v/>
      </c>
      <c r="X66" s="109" t="str">
        <f t="shared" si="9"/>
        <v/>
      </c>
      <c r="Y66" s="108"/>
    </row>
    <row r="67" spans="1:25" ht="15.75" customHeight="1" x14ac:dyDescent="0.2">
      <c r="A67" s="102">
        <f>IF(B67=0,0,MAX($A$8:A66)+1)</f>
        <v>60</v>
      </c>
      <c r="B67" s="104" t="str">
        <f>NSTonghop!F67</f>
        <v>Châu Trần Tân Quốc</v>
      </c>
      <c r="C67" s="105">
        <f>NSTonghop!G67</f>
        <v>0</v>
      </c>
      <c r="D67" s="106" t="str">
        <f>IF(C67=0,NSTonghop!H67,NSTonghop!I67)</f>
        <v>19/05/1981</v>
      </c>
      <c r="E67" s="107" t="str">
        <f>NSTonghop!AL67</f>
        <v>01/09/2004</v>
      </c>
      <c r="F67" s="107" t="str">
        <f>NSTonghop!AN67</f>
        <v>01/03/2005</v>
      </c>
      <c r="G67" s="88">
        <f t="shared" si="2"/>
        <v>5</v>
      </c>
      <c r="H67" s="108">
        <f t="shared" si="3"/>
        <v>1981</v>
      </c>
      <c r="I67" s="109" t="str">
        <f t="shared" si="7"/>
        <v/>
      </c>
      <c r="J67" s="109" t="str">
        <f t="shared" si="9"/>
        <v/>
      </c>
      <c r="K67" s="109" t="str">
        <f t="shared" si="9"/>
        <v/>
      </c>
      <c r="L67" s="109" t="str">
        <f t="shared" si="9"/>
        <v/>
      </c>
      <c r="M67" s="109" t="str">
        <f t="shared" si="9"/>
        <v/>
      </c>
      <c r="N67" s="109" t="str">
        <f t="shared" si="9"/>
        <v/>
      </c>
      <c r="O67" s="109" t="str">
        <f t="shared" si="9"/>
        <v/>
      </c>
      <c r="P67" s="109" t="str">
        <f t="shared" si="9"/>
        <v/>
      </c>
      <c r="Q67" s="109" t="str">
        <f t="shared" si="9"/>
        <v/>
      </c>
      <c r="R67" s="109" t="str">
        <f t="shared" si="9"/>
        <v/>
      </c>
      <c r="S67" s="109" t="str">
        <f t="shared" si="9"/>
        <v/>
      </c>
      <c r="T67" s="109" t="str">
        <f t="shared" si="9"/>
        <v/>
      </c>
      <c r="U67" s="109" t="str">
        <f t="shared" si="9"/>
        <v/>
      </c>
      <c r="V67" s="109" t="str">
        <f t="shared" si="9"/>
        <v/>
      </c>
      <c r="W67" s="109" t="str">
        <f t="shared" si="9"/>
        <v/>
      </c>
      <c r="X67" s="109" t="str">
        <f t="shared" si="9"/>
        <v/>
      </c>
      <c r="Y67" s="108"/>
    </row>
    <row r="68" spans="1:25" ht="15.75" customHeight="1" x14ac:dyDescent="0.2">
      <c r="A68" s="102">
        <f>IF(B68=0,0,MAX($A$8:A67)+1)</f>
        <v>61</v>
      </c>
      <c r="B68" s="104" t="str">
        <f>NSTonghop!F68</f>
        <v>Nguyễn Thanh Hiệp</v>
      </c>
      <c r="C68" s="105">
        <f>NSTonghop!G68</f>
        <v>0</v>
      </c>
      <c r="D68" s="106" t="str">
        <f>IF(C68=0,NSTonghop!H68,NSTonghop!I68)</f>
        <v>13/09/1983</v>
      </c>
      <c r="E68" s="107" t="str">
        <f>NSTonghop!AL68</f>
        <v>01/09/2009</v>
      </c>
      <c r="F68" s="107" t="str">
        <f>NSTonghop!AN68</f>
        <v>01/09/2010</v>
      </c>
      <c r="G68" s="88">
        <f t="shared" si="2"/>
        <v>9</v>
      </c>
      <c r="H68" s="108">
        <f t="shared" si="3"/>
        <v>1983</v>
      </c>
      <c r="I68" s="109" t="str">
        <f t="shared" si="7"/>
        <v/>
      </c>
      <c r="J68" s="109" t="str">
        <f t="shared" ref="J68:X77" si="10">IF(OR(AND($C68="x",J$7-$H68=55),AND($C68=0, J$7-$H68=60)),J$7-$H68,"")</f>
        <v/>
      </c>
      <c r="K68" s="109" t="str">
        <f t="shared" si="10"/>
        <v/>
      </c>
      <c r="L68" s="109" t="str">
        <f t="shared" si="10"/>
        <v/>
      </c>
      <c r="M68" s="109" t="str">
        <f t="shared" si="10"/>
        <v/>
      </c>
      <c r="N68" s="109" t="str">
        <f t="shared" si="10"/>
        <v/>
      </c>
      <c r="O68" s="109" t="str">
        <f t="shared" si="10"/>
        <v/>
      </c>
      <c r="P68" s="109" t="str">
        <f t="shared" si="10"/>
        <v/>
      </c>
      <c r="Q68" s="109" t="str">
        <f t="shared" si="10"/>
        <v/>
      </c>
      <c r="R68" s="109" t="str">
        <f t="shared" si="10"/>
        <v/>
      </c>
      <c r="S68" s="109" t="str">
        <f t="shared" si="10"/>
        <v/>
      </c>
      <c r="T68" s="109" t="str">
        <f t="shared" si="10"/>
        <v/>
      </c>
      <c r="U68" s="109" t="str">
        <f t="shared" si="10"/>
        <v/>
      </c>
      <c r="V68" s="109" t="str">
        <f t="shared" si="10"/>
        <v/>
      </c>
      <c r="W68" s="109" t="str">
        <f t="shared" si="10"/>
        <v/>
      </c>
      <c r="X68" s="109" t="str">
        <f t="shared" si="10"/>
        <v/>
      </c>
      <c r="Y68" s="108"/>
    </row>
    <row r="69" spans="1:25" ht="15.75" customHeight="1" x14ac:dyDescent="0.2">
      <c r="A69" s="102">
        <f>IF(B69=0,0,MAX($A$8:A68)+1)</f>
        <v>62</v>
      </c>
      <c r="B69" s="104" t="str">
        <f>NSTonghop!F69</f>
        <v>Nguyễn Thanh Tùng</v>
      </c>
      <c r="C69" s="105">
        <f>NSTonghop!G69</f>
        <v>0</v>
      </c>
      <c r="D69" s="106" t="str">
        <f>IF(C69=0,NSTonghop!H69,NSTonghop!I69)</f>
        <v>25/04/1985</v>
      </c>
      <c r="E69" s="107" t="str">
        <f>NSTonghop!AL69</f>
        <v>01/09/2006</v>
      </c>
      <c r="F69" s="107" t="str">
        <f>NSTonghop!AN69</f>
        <v>01/09/2007</v>
      </c>
      <c r="G69" s="88">
        <f t="shared" si="2"/>
        <v>4</v>
      </c>
      <c r="H69" s="108">
        <f t="shared" si="3"/>
        <v>1985</v>
      </c>
      <c r="I69" s="109" t="str">
        <f t="shared" si="7"/>
        <v/>
      </c>
      <c r="J69" s="109" t="str">
        <f t="shared" si="10"/>
        <v/>
      </c>
      <c r="K69" s="109" t="str">
        <f t="shared" si="10"/>
        <v/>
      </c>
      <c r="L69" s="109" t="str">
        <f t="shared" si="10"/>
        <v/>
      </c>
      <c r="M69" s="109" t="str">
        <f t="shared" si="10"/>
        <v/>
      </c>
      <c r="N69" s="109" t="str">
        <f t="shared" si="10"/>
        <v/>
      </c>
      <c r="O69" s="109" t="str">
        <f t="shared" si="10"/>
        <v/>
      </c>
      <c r="P69" s="109" t="str">
        <f t="shared" si="10"/>
        <v/>
      </c>
      <c r="Q69" s="109" t="str">
        <f t="shared" si="10"/>
        <v/>
      </c>
      <c r="R69" s="109" t="str">
        <f t="shared" si="10"/>
        <v/>
      </c>
      <c r="S69" s="109" t="str">
        <f t="shared" si="10"/>
        <v/>
      </c>
      <c r="T69" s="109" t="str">
        <f t="shared" si="10"/>
        <v/>
      </c>
      <c r="U69" s="109" t="str">
        <f t="shared" si="10"/>
        <v/>
      </c>
      <c r="V69" s="109" t="str">
        <f t="shared" si="10"/>
        <v/>
      </c>
      <c r="W69" s="109" t="str">
        <f t="shared" si="10"/>
        <v/>
      </c>
      <c r="X69" s="109" t="str">
        <f t="shared" si="10"/>
        <v/>
      </c>
      <c r="Y69" s="108"/>
    </row>
    <row r="70" spans="1:25" ht="15.75" customHeight="1" x14ac:dyDescent="0.2">
      <c r="A70" s="102">
        <f>IF(B70=0,0,MAX($A$8:A69)+1)</f>
        <v>63</v>
      </c>
      <c r="B70" s="104" t="str">
        <f>NSTonghop!F70</f>
        <v>Cao Thanh Phong</v>
      </c>
      <c r="C70" s="105">
        <f>NSTonghop!G70</f>
        <v>0</v>
      </c>
      <c r="D70" s="106" t="str">
        <f>IF(C70=0,NSTonghop!H70,NSTonghop!I70)</f>
        <v>17/04/1976</v>
      </c>
      <c r="E70" s="107" t="str">
        <f>NSTonghop!AL70</f>
        <v>01/05/2000</v>
      </c>
      <c r="F70" s="107" t="str">
        <f>NSTonghop!AN70</f>
        <v>01/11/2000</v>
      </c>
      <c r="G70" s="88">
        <f t="shared" si="2"/>
        <v>4</v>
      </c>
      <c r="H70" s="108">
        <f t="shared" si="3"/>
        <v>1976</v>
      </c>
      <c r="I70" s="109" t="str">
        <f t="shared" si="7"/>
        <v/>
      </c>
      <c r="J70" s="109" t="str">
        <f t="shared" si="10"/>
        <v/>
      </c>
      <c r="K70" s="109" t="str">
        <f t="shared" si="10"/>
        <v/>
      </c>
      <c r="L70" s="109" t="str">
        <f t="shared" si="10"/>
        <v/>
      </c>
      <c r="M70" s="109" t="str">
        <f t="shared" si="10"/>
        <v/>
      </c>
      <c r="N70" s="109" t="str">
        <f t="shared" si="10"/>
        <v/>
      </c>
      <c r="O70" s="109" t="str">
        <f t="shared" si="10"/>
        <v/>
      </c>
      <c r="P70" s="109" t="str">
        <f t="shared" si="10"/>
        <v/>
      </c>
      <c r="Q70" s="109" t="str">
        <f t="shared" si="10"/>
        <v/>
      </c>
      <c r="R70" s="109" t="str">
        <f t="shared" si="10"/>
        <v/>
      </c>
      <c r="S70" s="109" t="str">
        <f t="shared" si="10"/>
        <v/>
      </c>
      <c r="T70" s="109" t="str">
        <f t="shared" si="10"/>
        <v/>
      </c>
      <c r="U70" s="109" t="str">
        <f t="shared" si="10"/>
        <v/>
      </c>
      <c r="V70" s="109" t="str">
        <f t="shared" si="10"/>
        <v/>
      </c>
      <c r="W70" s="109" t="str">
        <f t="shared" si="10"/>
        <v/>
      </c>
      <c r="X70" s="109" t="str">
        <f t="shared" si="10"/>
        <v/>
      </c>
      <c r="Y70" s="108"/>
    </row>
    <row r="71" spans="1:25" ht="15.75" customHeight="1" x14ac:dyDescent="0.2">
      <c r="A71" s="102">
        <f>IF(B71=0,0,MAX($A$8:A70)+1)</f>
        <v>64</v>
      </c>
      <c r="B71" s="104" t="str">
        <f>NSTonghop!F71</f>
        <v>Bùi Thị Huỳnh Hương</v>
      </c>
      <c r="C71" s="105" t="str">
        <f>NSTonghop!G71</f>
        <v>x</v>
      </c>
      <c r="D71" s="106" t="str">
        <f>IF(C71=0,NSTonghop!H71,NSTonghop!I71)</f>
        <v>05/02/1979</v>
      </c>
      <c r="E71" s="107" t="str">
        <f>NSTonghop!AL71</f>
        <v>01/09/1999</v>
      </c>
      <c r="F71" s="107" t="str">
        <f>NSTonghop!AN71</f>
        <v>01/04/2000</v>
      </c>
      <c r="G71" s="88">
        <f t="shared" si="2"/>
        <v>2</v>
      </c>
      <c r="H71" s="108">
        <f t="shared" si="3"/>
        <v>1979</v>
      </c>
      <c r="I71" s="109" t="str">
        <f t="shared" si="7"/>
        <v/>
      </c>
      <c r="J71" s="109" t="str">
        <f t="shared" si="10"/>
        <v/>
      </c>
      <c r="K71" s="109" t="str">
        <f t="shared" si="10"/>
        <v/>
      </c>
      <c r="L71" s="109" t="str">
        <f t="shared" si="10"/>
        <v/>
      </c>
      <c r="M71" s="109" t="str">
        <f t="shared" si="10"/>
        <v/>
      </c>
      <c r="N71" s="109" t="str">
        <f t="shared" si="10"/>
        <v/>
      </c>
      <c r="O71" s="109" t="str">
        <f t="shared" si="10"/>
        <v/>
      </c>
      <c r="P71" s="109" t="str">
        <f t="shared" si="10"/>
        <v/>
      </c>
      <c r="Q71" s="109" t="str">
        <f t="shared" si="10"/>
        <v/>
      </c>
      <c r="R71" s="109" t="str">
        <f t="shared" si="10"/>
        <v/>
      </c>
      <c r="S71" s="109" t="str">
        <f t="shared" si="10"/>
        <v/>
      </c>
      <c r="T71" s="109" t="str">
        <f t="shared" si="10"/>
        <v/>
      </c>
      <c r="U71" s="109" t="str">
        <f t="shared" si="10"/>
        <v/>
      </c>
      <c r="V71" s="109" t="str">
        <f t="shared" si="10"/>
        <v/>
      </c>
      <c r="W71" s="109" t="str">
        <f t="shared" si="10"/>
        <v/>
      </c>
      <c r="X71" s="109" t="str">
        <f t="shared" si="10"/>
        <v/>
      </c>
      <c r="Y71" s="108"/>
    </row>
    <row r="72" spans="1:25" ht="15.75" customHeight="1" x14ac:dyDescent="0.2">
      <c r="A72" s="102">
        <f>IF(B72=0,0,MAX($A$8:A71)+1)</f>
        <v>65</v>
      </c>
      <c r="B72" s="104" t="str">
        <f>NSTonghop!F72</f>
        <v>Lê Thị Kim Thảo</v>
      </c>
      <c r="C72" s="105" t="str">
        <f>NSTonghop!G72</f>
        <v>x</v>
      </c>
      <c r="D72" s="106" t="str">
        <f>IF(C72=0,NSTonghop!H72,NSTonghop!I72)</f>
        <v>01/10/1982</v>
      </c>
      <c r="E72" s="107" t="str">
        <f>NSTonghop!AL72</f>
        <v>01/09/2004</v>
      </c>
      <c r="F72" s="107" t="str">
        <f>NSTonghop!AN72</f>
        <v>01/03/2005</v>
      </c>
      <c r="G72" s="88">
        <f t="shared" si="2"/>
        <v>10</v>
      </c>
      <c r="H72" s="108">
        <f t="shared" si="3"/>
        <v>1982</v>
      </c>
      <c r="I72" s="109" t="str">
        <f t="shared" ref="I72:I106" si="11">IF(OR(AND($C72="x",I$7-$H72=55),AND($C72=0,I$7-$H72=60)),I$7-$H72,"")</f>
        <v/>
      </c>
      <c r="J72" s="109" t="str">
        <f t="shared" si="10"/>
        <v/>
      </c>
      <c r="K72" s="109" t="str">
        <f t="shared" si="10"/>
        <v/>
      </c>
      <c r="L72" s="109" t="str">
        <f t="shared" si="10"/>
        <v/>
      </c>
      <c r="M72" s="109" t="str">
        <f t="shared" si="10"/>
        <v/>
      </c>
      <c r="N72" s="109" t="str">
        <f t="shared" si="10"/>
        <v/>
      </c>
      <c r="O72" s="109" t="str">
        <f t="shared" si="10"/>
        <v/>
      </c>
      <c r="P72" s="109" t="str">
        <f t="shared" si="10"/>
        <v/>
      </c>
      <c r="Q72" s="109" t="str">
        <f t="shared" si="10"/>
        <v/>
      </c>
      <c r="R72" s="109" t="str">
        <f t="shared" si="10"/>
        <v/>
      </c>
      <c r="S72" s="109" t="str">
        <f t="shared" si="10"/>
        <v/>
      </c>
      <c r="T72" s="109" t="str">
        <f t="shared" si="10"/>
        <v/>
      </c>
      <c r="U72" s="109" t="str">
        <f t="shared" si="10"/>
        <v/>
      </c>
      <c r="V72" s="109" t="str">
        <f t="shared" si="10"/>
        <v/>
      </c>
      <c r="W72" s="109" t="str">
        <f t="shared" si="10"/>
        <v/>
      </c>
      <c r="X72" s="109" t="str">
        <f t="shared" si="10"/>
        <v/>
      </c>
      <c r="Y72" s="108"/>
    </row>
    <row r="73" spans="1:25" ht="15.75" customHeight="1" x14ac:dyDescent="0.2">
      <c r="A73" s="102">
        <f>IF(B73=0,0,MAX($A$8:A72)+1)</f>
        <v>66</v>
      </c>
      <c r="B73" s="104" t="str">
        <f>NSTonghop!F73</f>
        <v>Lê Nguyên Khiêm</v>
      </c>
      <c r="C73" s="105">
        <f>NSTonghop!G73</f>
        <v>0</v>
      </c>
      <c r="D73" s="106" t="str">
        <f>IF(C73=0,NSTonghop!H73,NSTonghop!I73)</f>
        <v>24/08/1978</v>
      </c>
      <c r="E73" s="107" t="str">
        <f>NSTonghop!AL73</f>
        <v>16/09/2000</v>
      </c>
      <c r="F73" s="107" t="str">
        <f>NSTonghop!AN73</f>
        <v>01/04/2001</v>
      </c>
      <c r="G73" s="88">
        <f t="shared" ref="G73:G91" si="12">IF(D73=0,0,MONTH(D73))</f>
        <v>8</v>
      </c>
      <c r="H73" s="108">
        <f t="shared" ref="H73:H91" si="13">IF(D73=0,0,YEAR(D73))</f>
        <v>1978</v>
      </c>
      <c r="I73" s="109" t="str">
        <f t="shared" si="11"/>
        <v/>
      </c>
      <c r="J73" s="109" t="str">
        <f t="shared" si="10"/>
        <v/>
      </c>
      <c r="K73" s="109" t="str">
        <f t="shared" si="10"/>
        <v/>
      </c>
      <c r="L73" s="109" t="str">
        <f t="shared" si="10"/>
        <v/>
      </c>
      <c r="M73" s="109" t="str">
        <f t="shared" si="10"/>
        <v/>
      </c>
      <c r="N73" s="109" t="str">
        <f t="shared" si="10"/>
        <v/>
      </c>
      <c r="O73" s="109" t="str">
        <f t="shared" si="10"/>
        <v/>
      </c>
      <c r="P73" s="109" t="str">
        <f t="shared" si="10"/>
        <v/>
      </c>
      <c r="Q73" s="109" t="str">
        <f t="shared" si="10"/>
        <v/>
      </c>
      <c r="R73" s="109" t="str">
        <f t="shared" si="10"/>
        <v/>
      </c>
      <c r="S73" s="109" t="str">
        <f t="shared" si="10"/>
        <v/>
      </c>
      <c r="T73" s="109" t="str">
        <f t="shared" si="10"/>
        <v/>
      </c>
      <c r="U73" s="109" t="str">
        <f t="shared" si="10"/>
        <v/>
      </c>
      <c r="V73" s="109" t="str">
        <f t="shared" si="10"/>
        <v/>
      </c>
      <c r="W73" s="109" t="str">
        <f t="shared" si="10"/>
        <v/>
      </c>
      <c r="X73" s="109" t="str">
        <f t="shared" si="10"/>
        <v/>
      </c>
      <c r="Y73" s="108"/>
    </row>
    <row r="74" spans="1:25" ht="15.75" customHeight="1" x14ac:dyDescent="0.2">
      <c r="A74" s="102">
        <f>IF(B74=0,0,MAX($A$8:A73)+1)</f>
        <v>67</v>
      </c>
      <c r="B74" s="104" t="str">
        <f>NSTonghop!F74</f>
        <v>Trịnh Thị Thanh Trúc</v>
      </c>
      <c r="C74" s="105" t="str">
        <f>NSTonghop!G74</f>
        <v>x</v>
      </c>
      <c r="D74" s="106" t="str">
        <f>IF(C74=0,NSTonghop!H74,NSTonghop!I74)</f>
        <v>24/07/1978</v>
      </c>
      <c r="E74" s="107" t="str">
        <f>NSTonghop!AL74</f>
        <v>01/09/2001</v>
      </c>
      <c r="F74" s="107" t="str">
        <f>NSTonghop!AN74</f>
        <v>01/03/2002</v>
      </c>
      <c r="G74" s="88">
        <f t="shared" si="12"/>
        <v>7</v>
      </c>
      <c r="H74" s="108">
        <f t="shared" si="13"/>
        <v>1978</v>
      </c>
      <c r="I74" s="109" t="str">
        <f t="shared" si="11"/>
        <v/>
      </c>
      <c r="J74" s="109" t="str">
        <f t="shared" si="10"/>
        <v/>
      </c>
      <c r="K74" s="109" t="str">
        <f t="shared" si="10"/>
        <v/>
      </c>
      <c r="L74" s="109" t="str">
        <f t="shared" si="10"/>
        <v/>
      </c>
      <c r="M74" s="109" t="str">
        <f t="shared" si="10"/>
        <v/>
      </c>
      <c r="N74" s="109" t="str">
        <f t="shared" si="10"/>
        <v/>
      </c>
      <c r="O74" s="109" t="str">
        <f t="shared" si="10"/>
        <v/>
      </c>
      <c r="P74" s="109" t="str">
        <f t="shared" si="10"/>
        <v/>
      </c>
      <c r="Q74" s="109" t="str">
        <f t="shared" si="10"/>
        <v/>
      </c>
      <c r="R74" s="109" t="str">
        <f t="shared" si="10"/>
        <v/>
      </c>
      <c r="S74" s="109" t="str">
        <f t="shared" si="10"/>
        <v/>
      </c>
      <c r="T74" s="109" t="str">
        <f t="shared" si="10"/>
        <v/>
      </c>
      <c r="U74" s="109" t="str">
        <f t="shared" si="10"/>
        <v/>
      </c>
      <c r="V74" s="109" t="str">
        <f t="shared" si="10"/>
        <v/>
      </c>
      <c r="W74" s="109" t="str">
        <f t="shared" si="10"/>
        <v/>
      </c>
      <c r="X74" s="109" t="str">
        <f t="shared" si="10"/>
        <v/>
      </c>
      <c r="Y74" s="108"/>
    </row>
    <row r="75" spans="1:25" ht="15.75" customHeight="1" x14ac:dyDescent="0.2">
      <c r="A75" s="102">
        <f>IF(B75=0,0,MAX($A$8:A74)+1)</f>
        <v>68</v>
      </c>
      <c r="B75" s="104" t="str">
        <f>NSTonghop!F75</f>
        <v>Huỳnh Văn Phước</v>
      </c>
      <c r="C75" s="105">
        <f>NSTonghop!G75</f>
        <v>0</v>
      </c>
      <c r="D75" s="106" t="str">
        <f>IF(C75=0,NSTonghop!H75,NSTonghop!I75)</f>
        <v>10/01/1964</v>
      </c>
      <c r="E75" s="107" t="str">
        <f>NSTonghop!AL75</f>
        <v>01/09/1987</v>
      </c>
      <c r="F75" s="107" t="str">
        <f>NSTonghop!AN75</f>
        <v xml:space="preserve">  </v>
      </c>
      <c r="G75" s="88">
        <f t="shared" si="12"/>
        <v>1</v>
      </c>
      <c r="H75" s="108">
        <f t="shared" si="13"/>
        <v>1964</v>
      </c>
      <c r="I75" s="109" t="str">
        <f t="shared" si="11"/>
        <v/>
      </c>
      <c r="J75" s="109" t="str">
        <f t="shared" si="10"/>
        <v/>
      </c>
      <c r="K75" s="109" t="str">
        <f t="shared" si="10"/>
        <v/>
      </c>
      <c r="L75" s="109" t="str">
        <f t="shared" si="10"/>
        <v/>
      </c>
      <c r="M75" s="109" t="str">
        <f t="shared" si="10"/>
        <v/>
      </c>
      <c r="N75" s="109" t="str">
        <f t="shared" si="10"/>
        <v/>
      </c>
      <c r="O75" s="109" t="str">
        <f t="shared" si="10"/>
        <v/>
      </c>
      <c r="P75" s="109" t="str">
        <f t="shared" si="10"/>
        <v/>
      </c>
      <c r="Q75" s="109" t="str">
        <f t="shared" si="10"/>
        <v/>
      </c>
      <c r="R75" s="109">
        <f t="shared" si="10"/>
        <v>60</v>
      </c>
      <c r="S75" s="109" t="str">
        <f t="shared" si="10"/>
        <v/>
      </c>
      <c r="T75" s="109" t="str">
        <f t="shared" si="10"/>
        <v/>
      </c>
      <c r="U75" s="109" t="str">
        <f t="shared" si="10"/>
        <v/>
      </c>
      <c r="V75" s="109" t="str">
        <f t="shared" si="10"/>
        <v/>
      </c>
      <c r="W75" s="109" t="str">
        <f t="shared" si="10"/>
        <v/>
      </c>
      <c r="X75" s="109" t="str">
        <f t="shared" si="10"/>
        <v/>
      </c>
      <c r="Y75" s="108"/>
    </row>
    <row r="76" spans="1:25" ht="15.75" customHeight="1" x14ac:dyDescent="0.2">
      <c r="A76" s="102">
        <f>IF(B76=0,0,MAX($A$8:A75)+1)</f>
        <v>69</v>
      </c>
      <c r="B76" s="104" t="str">
        <f>NSTonghop!F76</f>
        <v>Nguyễn Thị Yến Nhi</v>
      </c>
      <c r="C76" s="105" t="str">
        <f>NSTonghop!G76</f>
        <v>x</v>
      </c>
      <c r="D76" s="106" t="str">
        <f>IF(C76=0,NSTonghop!H76,NSTonghop!I76)</f>
        <v>16/01/1970</v>
      </c>
      <c r="E76" s="107" t="str">
        <f>NSTonghop!AL76</f>
        <v>10/12/1991</v>
      </c>
      <c r="F76" s="107" t="str">
        <f>NSTonghop!AN76</f>
        <v>01/12/1993</v>
      </c>
      <c r="G76" s="88">
        <f t="shared" si="12"/>
        <v>1</v>
      </c>
      <c r="H76" s="108">
        <f t="shared" si="13"/>
        <v>1970</v>
      </c>
      <c r="I76" s="109" t="str">
        <f t="shared" si="11"/>
        <v/>
      </c>
      <c r="J76" s="109" t="str">
        <f t="shared" si="10"/>
        <v/>
      </c>
      <c r="K76" s="109" t="str">
        <f t="shared" si="10"/>
        <v/>
      </c>
      <c r="L76" s="109" t="str">
        <f t="shared" si="10"/>
        <v/>
      </c>
      <c r="M76" s="109" t="str">
        <f t="shared" si="10"/>
        <v/>
      </c>
      <c r="N76" s="109" t="str">
        <f t="shared" si="10"/>
        <v/>
      </c>
      <c r="O76" s="109" t="str">
        <f t="shared" si="10"/>
        <v/>
      </c>
      <c r="P76" s="109" t="str">
        <f t="shared" si="10"/>
        <v/>
      </c>
      <c r="Q76" s="109" t="str">
        <f t="shared" si="10"/>
        <v/>
      </c>
      <c r="R76" s="109" t="str">
        <f t="shared" si="10"/>
        <v/>
      </c>
      <c r="S76" s="109">
        <f t="shared" si="10"/>
        <v>55</v>
      </c>
      <c r="T76" s="109" t="str">
        <f t="shared" si="10"/>
        <v/>
      </c>
      <c r="U76" s="109" t="str">
        <f t="shared" si="10"/>
        <v/>
      </c>
      <c r="V76" s="109" t="str">
        <f t="shared" si="10"/>
        <v/>
      </c>
      <c r="W76" s="109" t="str">
        <f t="shared" si="10"/>
        <v/>
      </c>
      <c r="X76" s="109" t="str">
        <f t="shared" si="10"/>
        <v/>
      </c>
      <c r="Y76" s="108"/>
    </row>
    <row r="77" spans="1:25" ht="15.75" customHeight="1" x14ac:dyDescent="0.2">
      <c r="A77" s="102">
        <f>IF(B77=0,0,MAX($A$8:A76)+1)</f>
        <v>70</v>
      </c>
      <c r="B77" s="104" t="str">
        <f>NSTonghop!F77</f>
        <v>Nguyễn Thị Phương Mai</v>
      </c>
      <c r="C77" s="105" t="str">
        <f>NSTonghop!G77</f>
        <v>x</v>
      </c>
      <c r="D77" s="106" t="str">
        <f>IF(C77=0,NSTonghop!H77,NSTonghop!I77)</f>
        <v>19/05/1981</v>
      </c>
      <c r="E77" s="107" t="str">
        <f>NSTonghop!AL77</f>
        <v>01/09/2003</v>
      </c>
      <c r="F77" s="107" t="str">
        <f>NSTonghop!AN77</f>
        <v>01/03/2004</v>
      </c>
      <c r="G77" s="88">
        <f t="shared" si="12"/>
        <v>5</v>
      </c>
      <c r="H77" s="108">
        <f t="shared" si="13"/>
        <v>1981</v>
      </c>
      <c r="I77" s="109" t="str">
        <f t="shared" si="11"/>
        <v/>
      </c>
      <c r="J77" s="109" t="str">
        <f t="shared" si="10"/>
        <v/>
      </c>
      <c r="K77" s="109" t="str">
        <f t="shared" si="10"/>
        <v/>
      </c>
      <c r="L77" s="109" t="str">
        <f t="shared" si="10"/>
        <v/>
      </c>
      <c r="M77" s="109" t="str">
        <f t="shared" si="10"/>
        <v/>
      </c>
      <c r="N77" s="109" t="str">
        <f t="shared" si="10"/>
        <v/>
      </c>
      <c r="O77" s="109" t="str">
        <f t="shared" si="10"/>
        <v/>
      </c>
      <c r="P77" s="109" t="str">
        <f t="shared" si="10"/>
        <v/>
      </c>
      <c r="Q77" s="109" t="str">
        <f t="shared" si="10"/>
        <v/>
      </c>
      <c r="R77" s="109" t="str">
        <f t="shared" si="10"/>
        <v/>
      </c>
      <c r="S77" s="109" t="str">
        <f t="shared" si="10"/>
        <v/>
      </c>
      <c r="T77" s="109" t="str">
        <f t="shared" si="10"/>
        <v/>
      </c>
      <c r="U77" s="109" t="str">
        <f t="shared" si="10"/>
        <v/>
      </c>
      <c r="V77" s="109" t="str">
        <f t="shared" si="10"/>
        <v/>
      </c>
      <c r="W77" s="109" t="str">
        <f t="shared" si="10"/>
        <v/>
      </c>
      <c r="X77" s="109" t="str">
        <f t="shared" si="10"/>
        <v/>
      </c>
      <c r="Y77" s="108"/>
    </row>
    <row r="78" spans="1:25" ht="15.75" customHeight="1" x14ac:dyDescent="0.2">
      <c r="A78" s="102">
        <f>IF(B78=0,0,MAX($A$8:A77)+1)</f>
        <v>71</v>
      </c>
      <c r="B78" s="104" t="str">
        <f>NSTonghop!F78</f>
        <v>Đoàn Thị Ghi</v>
      </c>
      <c r="C78" s="105" t="str">
        <f>NSTonghop!G78</f>
        <v>x</v>
      </c>
      <c r="D78" s="106" t="str">
        <f>IF(C78=0,NSTonghop!H78,NSTonghop!I78)</f>
        <v>25/12/1981</v>
      </c>
      <c r="E78" s="107" t="str">
        <f>NSTonghop!AL78</f>
        <v>01/09/2005</v>
      </c>
      <c r="F78" s="107" t="str">
        <f>NSTonghop!AN78</f>
        <v>01/09/2006</v>
      </c>
      <c r="G78" s="88">
        <f t="shared" si="12"/>
        <v>12</v>
      </c>
      <c r="H78" s="108">
        <f t="shared" si="13"/>
        <v>1981</v>
      </c>
      <c r="I78" s="109" t="str">
        <f t="shared" si="11"/>
        <v/>
      </c>
      <c r="J78" s="109" t="str">
        <f t="shared" ref="J78:X87" si="14">IF(OR(AND($C78="x",J$7-$H78=55),AND($C78=0, J$7-$H78=60)),J$7-$H78,"")</f>
        <v/>
      </c>
      <c r="K78" s="109" t="str">
        <f t="shared" si="14"/>
        <v/>
      </c>
      <c r="L78" s="109" t="str">
        <f t="shared" si="14"/>
        <v/>
      </c>
      <c r="M78" s="109" t="str">
        <f t="shared" si="14"/>
        <v/>
      </c>
      <c r="N78" s="109" t="str">
        <f t="shared" si="14"/>
        <v/>
      </c>
      <c r="O78" s="109" t="str">
        <f t="shared" si="14"/>
        <v/>
      </c>
      <c r="P78" s="109" t="str">
        <f t="shared" si="14"/>
        <v/>
      </c>
      <c r="Q78" s="109" t="str">
        <f t="shared" si="14"/>
        <v/>
      </c>
      <c r="R78" s="109" t="str">
        <f t="shared" si="14"/>
        <v/>
      </c>
      <c r="S78" s="109" t="str">
        <f t="shared" si="14"/>
        <v/>
      </c>
      <c r="T78" s="109" t="str">
        <f t="shared" si="14"/>
        <v/>
      </c>
      <c r="U78" s="109" t="str">
        <f t="shared" si="14"/>
        <v/>
      </c>
      <c r="V78" s="109" t="str">
        <f t="shared" si="14"/>
        <v/>
      </c>
      <c r="W78" s="109" t="str">
        <f t="shared" si="14"/>
        <v/>
      </c>
      <c r="X78" s="109" t="str">
        <f t="shared" si="14"/>
        <v/>
      </c>
      <c r="Y78" s="108"/>
    </row>
    <row r="79" spans="1:25" ht="15.75" customHeight="1" x14ac:dyDescent="0.2">
      <c r="A79" s="102">
        <f>IF(B79=0,0,MAX($A$8:A78)+1)</f>
        <v>72</v>
      </c>
      <c r="B79" s="104" t="str">
        <f>NSTonghop!F79</f>
        <v>Phan Thị Hồng Ngoan</v>
      </c>
      <c r="C79" s="105" t="str">
        <f>NSTonghop!G79</f>
        <v>x</v>
      </c>
      <c r="D79" s="106" t="str">
        <f>IF(C79=0,NSTonghop!H79,NSTonghop!I79)</f>
        <v>07/11/1986</v>
      </c>
      <c r="E79" s="107" t="str">
        <f>NSTonghop!AL79</f>
        <v>01/09/2008</v>
      </c>
      <c r="F79" s="107" t="str">
        <f>NSTonghop!AN79</f>
        <v>01/09/2009</v>
      </c>
      <c r="G79" s="88">
        <f t="shared" si="12"/>
        <v>11</v>
      </c>
      <c r="H79" s="108">
        <f t="shared" si="13"/>
        <v>1986</v>
      </c>
      <c r="I79" s="109" t="str">
        <f t="shared" si="11"/>
        <v/>
      </c>
      <c r="J79" s="109" t="str">
        <f t="shared" si="14"/>
        <v/>
      </c>
      <c r="K79" s="109" t="str">
        <f t="shared" si="14"/>
        <v/>
      </c>
      <c r="L79" s="109" t="str">
        <f t="shared" si="14"/>
        <v/>
      </c>
      <c r="M79" s="109" t="str">
        <f t="shared" si="14"/>
        <v/>
      </c>
      <c r="N79" s="109" t="str">
        <f t="shared" si="14"/>
        <v/>
      </c>
      <c r="O79" s="109" t="str">
        <f t="shared" si="14"/>
        <v/>
      </c>
      <c r="P79" s="109" t="str">
        <f t="shared" si="14"/>
        <v/>
      </c>
      <c r="Q79" s="109" t="str">
        <f t="shared" si="14"/>
        <v/>
      </c>
      <c r="R79" s="109" t="str">
        <f t="shared" si="14"/>
        <v/>
      </c>
      <c r="S79" s="109" t="str">
        <f t="shared" si="14"/>
        <v/>
      </c>
      <c r="T79" s="109" t="str">
        <f t="shared" si="14"/>
        <v/>
      </c>
      <c r="U79" s="109" t="str">
        <f t="shared" si="14"/>
        <v/>
      </c>
      <c r="V79" s="109" t="str">
        <f t="shared" si="14"/>
        <v/>
      </c>
      <c r="W79" s="109" t="str">
        <f t="shared" si="14"/>
        <v/>
      </c>
      <c r="X79" s="109" t="str">
        <f t="shared" si="14"/>
        <v/>
      </c>
      <c r="Y79" s="108"/>
    </row>
    <row r="80" spans="1:25" ht="15.75" customHeight="1" x14ac:dyDescent="0.2">
      <c r="A80" s="102">
        <f>IF(B80=0,0,MAX($A$8:A79)+1)</f>
        <v>73</v>
      </c>
      <c r="B80" s="104" t="str">
        <f>NSTonghop!F80</f>
        <v>Nguyễn Thanh Liêm</v>
      </c>
      <c r="C80" s="105">
        <f>NSTonghop!G80</f>
        <v>0</v>
      </c>
      <c r="D80" s="106" t="str">
        <f>IF(C80=0,NSTonghop!H80,NSTonghop!I80)</f>
        <v>28/11/1983</v>
      </c>
      <c r="E80" s="107" t="str">
        <f>NSTonghop!AL80</f>
        <v>01/09/2007</v>
      </c>
      <c r="F80" s="107" t="str">
        <f>NSTonghop!AN80</f>
        <v>01/09/2008</v>
      </c>
      <c r="G80" s="88">
        <f t="shared" si="12"/>
        <v>11</v>
      </c>
      <c r="H80" s="108">
        <f t="shared" si="13"/>
        <v>1983</v>
      </c>
      <c r="I80" s="109" t="str">
        <f t="shared" si="11"/>
        <v/>
      </c>
      <c r="J80" s="109" t="str">
        <f t="shared" si="14"/>
        <v/>
      </c>
      <c r="K80" s="109" t="str">
        <f t="shared" si="14"/>
        <v/>
      </c>
      <c r="L80" s="109" t="str">
        <f t="shared" si="14"/>
        <v/>
      </c>
      <c r="M80" s="109" t="str">
        <f t="shared" si="14"/>
        <v/>
      </c>
      <c r="N80" s="109" t="str">
        <f t="shared" si="14"/>
        <v/>
      </c>
      <c r="O80" s="109" t="str">
        <f t="shared" si="14"/>
        <v/>
      </c>
      <c r="P80" s="109" t="str">
        <f t="shared" si="14"/>
        <v/>
      </c>
      <c r="Q80" s="109" t="str">
        <f t="shared" si="14"/>
        <v/>
      </c>
      <c r="R80" s="109" t="str">
        <f t="shared" si="14"/>
        <v/>
      </c>
      <c r="S80" s="109" t="str">
        <f t="shared" si="14"/>
        <v/>
      </c>
      <c r="T80" s="109" t="str">
        <f t="shared" si="14"/>
        <v/>
      </c>
      <c r="U80" s="109" t="str">
        <f t="shared" si="14"/>
        <v/>
      </c>
      <c r="V80" s="109" t="str">
        <f t="shared" si="14"/>
        <v/>
      </c>
      <c r="W80" s="109" t="str">
        <f t="shared" si="14"/>
        <v/>
      </c>
      <c r="X80" s="109" t="str">
        <f t="shared" si="14"/>
        <v/>
      </c>
      <c r="Y80" s="108"/>
    </row>
    <row r="81" spans="1:25" ht="15.75" customHeight="1" x14ac:dyDescent="0.2">
      <c r="A81" s="102">
        <f>IF(B81=0,0,MAX($A$8:A80)+1)</f>
        <v>74</v>
      </c>
      <c r="B81" s="104" t="str">
        <f>NSTonghop!F81</f>
        <v>Trần Thị Sẫm</v>
      </c>
      <c r="C81" s="105" t="str">
        <f>NSTonghop!G81</f>
        <v>x</v>
      </c>
      <c r="D81" s="106" t="str">
        <f>IF(C81=0,NSTonghop!H81,NSTonghop!I81)</f>
        <v>12/08/1966</v>
      </c>
      <c r="E81" s="107" t="str">
        <f>NSTonghop!AL81</f>
        <v>01/09/1986</v>
      </c>
      <c r="F81" s="107" t="str">
        <f>NSTonghop!AN81</f>
        <v>01/03/1989</v>
      </c>
      <c r="G81" s="88">
        <f t="shared" si="12"/>
        <v>8</v>
      </c>
      <c r="H81" s="108">
        <f t="shared" si="13"/>
        <v>1966</v>
      </c>
      <c r="I81" s="109" t="str">
        <f t="shared" si="11"/>
        <v/>
      </c>
      <c r="J81" s="109" t="str">
        <f t="shared" si="14"/>
        <v/>
      </c>
      <c r="K81" s="109" t="str">
        <f t="shared" si="14"/>
        <v/>
      </c>
      <c r="L81" s="109" t="str">
        <f t="shared" si="14"/>
        <v/>
      </c>
      <c r="M81" s="109" t="str">
        <f t="shared" si="14"/>
        <v/>
      </c>
      <c r="N81" s="109" t="str">
        <f t="shared" si="14"/>
        <v/>
      </c>
      <c r="O81" s="109">
        <f t="shared" si="14"/>
        <v>55</v>
      </c>
      <c r="P81" s="109" t="str">
        <f t="shared" si="14"/>
        <v/>
      </c>
      <c r="Q81" s="109" t="str">
        <f t="shared" si="14"/>
        <v/>
      </c>
      <c r="R81" s="109" t="str">
        <f t="shared" si="14"/>
        <v/>
      </c>
      <c r="S81" s="109" t="str">
        <f t="shared" si="14"/>
        <v/>
      </c>
      <c r="T81" s="109" t="str">
        <f t="shared" si="14"/>
        <v/>
      </c>
      <c r="U81" s="109" t="str">
        <f t="shared" si="14"/>
        <v/>
      </c>
      <c r="V81" s="109" t="str">
        <f t="shared" si="14"/>
        <v/>
      </c>
      <c r="W81" s="109" t="str">
        <f t="shared" si="14"/>
        <v/>
      </c>
      <c r="X81" s="109" t="str">
        <f t="shared" si="14"/>
        <v/>
      </c>
      <c r="Y81" s="108"/>
    </row>
    <row r="82" spans="1:25" ht="15.75" customHeight="1" x14ac:dyDescent="0.2">
      <c r="A82" s="102">
        <f>IF(B82=0,0,MAX($A$8:A81)+1)</f>
        <v>75</v>
      </c>
      <c r="B82" s="104" t="str">
        <f>NSTonghop!F82</f>
        <v>Trương Thị Thiền</v>
      </c>
      <c r="C82" s="105" t="str">
        <f>NSTonghop!G82</f>
        <v>x</v>
      </c>
      <c r="D82" s="106" t="str">
        <f>IF(C82=0,NSTonghop!H82,NSTonghop!I82)</f>
        <v>12/06/1964</v>
      </c>
      <c r="E82" s="107" t="str">
        <f>NSTonghop!AL82</f>
        <v>17/09/1984</v>
      </c>
      <c r="F82" s="107" t="str">
        <f>NSTonghop!AN82</f>
        <v>01/01/1988</v>
      </c>
      <c r="G82" s="88">
        <f t="shared" si="12"/>
        <v>6</v>
      </c>
      <c r="H82" s="108">
        <f t="shared" si="13"/>
        <v>1964</v>
      </c>
      <c r="I82" s="109" t="str">
        <f t="shared" si="11"/>
        <v/>
      </c>
      <c r="J82" s="109" t="str">
        <f t="shared" si="14"/>
        <v/>
      </c>
      <c r="K82" s="109" t="str">
        <f t="shared" si="14"/>
        <v/>
      </c>
      <c r="L82" s="109" t="str">
        <f t="shared" si="14"/>
        <v/>
      </c>
      <c r="M82" s="109">
        <f t="shared" si="14"/>
        <v>55</v>
      </c>
      <c r="N82" s="109" t="str">
        <f t="shared" si="14"/>
        <v/>
      </c>
      <c r="O82" s="109" t="str">
        <f t="shared" si="14"/>
        <v/>
      </c>
      <c r="P82" s="109" t="str">
        <f t="shared" si="14"/>
        <v/>
      </c>
      <c r="Q82" s="109" t="str">
        <f t="shared" si="14"/>
        <v/>
      </c>
      <c r="R82" s="109" t="str">
        <f t="shared" si="14"/>
        <v/>
      </c>
      <c r="S82" s="109" t="str">
        <f t="shared" si="14"/>
        <v/>
      </c>
      <c r="T82" s="109" t="str">
        <f t="shared" si="14"/>
        <v/>
      </c>
      <c r="U82" s="109" t="str">
        <f t="shared" si="14"/>
        <v/>
      </c>
      <c r="V82" s="109" t="str">
        <f t="shared" si="14"/>
        <v/>
      </c>
      <c r="W82" s="109" t="str">
        <f t="shared" si="14"/>
        <v/>
      </c>
      <c r="X82" s="109" t="str">
        <f t="shared" si="14"/>
        <v/>
      </c>
      <c r="Y82" s="108"/>
    </row>
    <row r="83" spans="1:25" ht="15.75" customHeight="1" x14ac:dyDescent="0.2">
      <c r="A83" s="102">
        <f>IF(B83=0,0,MAX($A$8:A82)+1)</f>
        <v>76</v>
      </c>
      <c r="B83" s="104" t="str">
        <f>NSTonghop!F83</f>
        <v>Ngô Thị Quý</v>
      </c>
      <c r="C83" s="105" t="str">
        <f>NSTonghop!G83</f>
        <v>x</v>
      </c>
      <c r="D83" s="106" t="str">
        <f>IF(C83=0,NSTonghop!H83,NSTonghop!I83)</f>
        <v>12/06/1962</v>
      </c>
      <c r="E83" s="107">
        <f>NSTonghop!AL83</f>
        <v>30942</v>
      </c>
      <c r="F83" s="107">
        <f>NSTonghop!AN83</f>
        <v>32264</v>
      </c>
      <c r="G83" s="88">
        <f t="shared" si="12"/>
        <v>6</v>
      </c>
      <c r="H83" s="108">
        <f t="shared" si="13"/>
        <v>1962</v>
      </c>
      <c r="I83" s="109" t="str">
        <f t="shared" si="11"/>
        <v/>
      </c>
      <c r="J83" s="109" t="str">
        <f t="shared" si="14"/>
        <v/>
      </c>
      <c r="K83" s="109">
        <f t="shared" si="14"/>
        <v>55</v>
      </c>
      <c r="L83" s="109" t="str">
        <f t="shared" si="14"/>
        <v/>
      </c>
      <c r="M83" s="109" t="str">
        <f t="shared" si="14"/>
        <v/>
      </c>
      <c r="N83" s="109" t="str">
        <f t="shared" si="14"/>
        <v/>
      </c>
      <c r="O83" s="109" t="str">
        <f t="shared" si="14"/>
        <v/>
      </c>
      <c r="P83" s="109" t="str">
        <f t="shared" si="14"/>
        <v/>
      </c>
      <c r="Q83" s="109" t="str">
        <f t="shared" si="14"/>
        <v/>
      </c>
      <c r="R83" s="109" t="str">
        <f t="shared" si="14"/>
        <v/>
      </c>
      <c r="S83" s="109" t="str">
        <f t="shared" si="14"/>
        <v/>
      </c>
      <c r="T83" s="109" t="str">
        <f t="shared" si="14"/>
        <v/>
      </c>
      <c r="U83" s="109" t="str">
        <f t="shared" si="14"/>
        <v/>
      </c>
      <c r="V83" s="109" t="str">
        <f t="shared" si="14"/>
        <v/>
      </c>
      <c r="W83" s="109" t="str">
        <f t="shared" si="14"/>
        <v/>
      </c>
      <c r="X83" s="109" t="str">
        <f t="shared" si="14"/>
        <v/>
      </c>
      <c r="Y83" s="108"/>
    </row>
    <row r="84" spans="1:25" ht="15.75" customHeight="1" x14ac:dyDescent="0.2">
      <c r="A84" s="102">
        <f>IF(B84=0,0,MAX($A$8:A83)+1)</f>
        <v>77</v>
      </c>
      <c r="B84" s="104" t="str">
        <f>NSTonghop!F84</f>
        <v>Tiêu Thanh Nam</v>
      </c>
      <c r="C84" s="105">
        <f>NSTonghop!G84</f>
        <v>0</v>
      </c>
      <c r="D84" s="106" t="str">
        <f>IF(C84=0,NSTonghop!H84,NSTonghop!I84)</f>
        <v>01/07/1968</v>
      </c>
      <c r="E84" s="107" t="str">
        <f>NSTonghop!AL84</f>
        <v>01/12/1991</v>
      </c>
      <c r="F84" s="107" t="str">
        <f>NSTonghop!AN84</f>
        <v>01/01/1995</v>
      </c>
      <c r="G84" s="88">
        <f t="shared" si="12"/>
        <v>7</v>
      </c>
      <c r="H84" s="108">
        <f t="shared" si="13"/>
        <v>1968</v>
      </c>
      <c r="I84" s="109" t="str">
        <f t="shared" si="11"/>
        <v/>
      </c>
      <c r="J84" s="109" t="str">
        <f t="shared" si="14"/>
        <v/>
      </c>
      <c r="K84" s="109" t="str">
        <f t="shared" si="14"/>
        <v/>
      </c>
      <c r="L84" s="109" t="str">
        <f t="shared" si="14"/>
        <v/>
      </c>
      <c r="M84" s="109" t="str">
        <f t="shared" si="14"/>
        <v/>
      </c>
      <c r="N84" s="109" t="str">
        <f t="shared" si="14"/>
        <v/>
      </c>
      <c r="O84" s="109" t="str">
        <f t="shared" si="14"/>
        <v/>
      </c>
      <c r="P84" s="109" t="str">
        <f t="shared" si="14"/>
        <v/>
      </c>
      <c r="Q84" s="109" t="str">
        <f t="shared" si="14"/>
        <v/>
      </c>
      <c r="R84" s="109" t="str">
        <f t="shared" si="14"/>
        <v/>
      </c>
      <c r="S84" s="109" t="str">
        <f t="shared" si="14"/>
        <v/>
      </c>
      <c r="T84" s="109" t="str">
        <f t="shared" si="14"/>
        <v/>
      </c>
      <c r="U84" s="109" t="str">
        <f t="shared" si="14"/>
        <v/>
      </c>
      <c r="V84" s="109">
        <f t="shared" si="14"/>
        <v>60</v>
      </c>
      <c r="W84" s="109" t="str">
        <f t="shared" si="14"/>
        <v/>
      </c>
      <c r="X84" s="109" t="str">
        <f t="shared" si="14"/>
        <v/>
      </c>
      <c r="Y84" s="108"/>
    </row>
    <row r="85" spans="1:25" ht="15.75" customHeight="1" x14ac:dyDescent="0.2">
      <c r="A85" s="102">
        <f>IF(B85=0,0,MAX($A$8:A84)+1)</f>
        <v>78</v>
      </c>
      <c r="B85" s="104" t="str">
        <f>NSTonghop!F85</f>
        <v>Dương Bình Trọng</v>
      </c>
      <c r="C85" s="105">
        <f>NSTonghop!G85</f>
        <v>0</v>
      </c>
      <c r="D85" s="106" t="str">
        <f>IF(C85=0,NSTonghop!H85,NSTonghop!I85)</f>
        <v>20/07/1981</v>
      </c>
      <c r="E85" s="107" t="str">
        <f>NSTonghop!AL85</f>
        <v>01/09/2006</v>
      </c>
      <c r="F85" s="107" t="str">
        <f>NSTonghop!AN85</f>
        <v>01/09/2007</v>
      </c>
      <c r="G85" s="88">
        <f t="shared" si="12"/>
        <v>7</v>
      </c>
      <c r="H85" s="108">
        <f t="shared" si="13"/>
        <v>1981</v>
      </c>
      <c r="I85" s="109" t="str">
        <f t="shared" si="11"/>
        <v/>
      </c>
      <c r="J85" s="109" t="str">
        <f t="shared" si="14"/>
        <v/>
      </c>
      <c r="K85" s="109" t="str">
        <f t="shared" si="14"/>
        <v/>
      </c>
      <c r="L85" s="109" t="str">
        <f t="shared" si="14"/>
        <v/>
      </c>
      <c r="M85" s="109" t="str">
        <f t="shared" si="14"/>
        <v/>
      </c>
      <c r="N85" s="109" t="str">
        <f t="shared" si="14"/>
        <v/>
      </c>
      <c r="O85" s="109" t="str">
        <f t="shared" si="14"/>
        <v/>
      </c>
      <c r="P85" s="109" t="str">
        <f t="shared" si="14"/>
        <v/>
      </c>
      <c r="Q85" s="109" t="str">
        <f t="shared" si="14"/>
        <v/>
      </c>
      <c r="R85" s="109" t="str">
        <f t="shared" si="14"/>
        <v/>
      </c>
      <c r="S85" s="109" t="str">
        <f t="shared" si="14"/>
        <v/>
      </c>
      <c r="T85" s="109" t="str">
        <f t="shared" si="14"/>
        <v/>
      </c>
      <c r="U85" s="109" t="str">
        <f t="shared" si="14"/>
        <v/>
      </c>
      <c r="V85" s="109" t="str">
        <f t="shared" si="14"/>
        <v/>
      </c>
      <c r="W85" s="109" t="str">
        <f t="shared" si="14"/>
        <v/>
      </c>
      <c r="X85" s="109" t="str">
        <f t="shared" si="14"/>
        <v/>
      </c>
      <c r="Y85" s="108"/>
    </row>
    <row r="86" spans="1:25" ht="15.75" customHeight="1" x14ac:dyDescent="0.2">
      <c r="A86" s="102">
        <f>IF(B86=0,0,MAX($A$8:A85)+1)</f>
        <v>79</v>
      </c>
      <c r="B86" s="104" t="str">
        <f>NSTonghop!F86</f>
        <v>Võ Thanh Cần</v>
      </c>
      <c r="C86" s="105">
        <f>NSTonghop!G86</f>
        <v>0</v>
      </c>
      <c r="D86" s="106" t="str">
        <f>IF(C86=0,NSTonghop!H86,NSTonghop!I86)</f>
        <v>19/10/1981</v>
      </c>
      <c r="E86" s="107" t="str">
        <f>NSTonghop!AL86</f>
        <v>15/09/2000</v>
      </c>
      <c r="F86" s="107" t="str">
        <f>NSTonghop!AN86</f>
        <v>01/01/2006</v>
      </c>
      <c r="G86" s="88">
        <f t="shared" si="12"/>
        <v>10</v>
      </c>
      <c r="H86" s="108">
        <f t="shared" si="13"/>
        <v>1981</v>
      </c>
      <c r="I86" s="109" t="str">
        <f t="shared" si="11"/>
        <v/>
      </c>
      <c r="J86" s="109" t="str">
        <f t="shared" si="14"/>
        <v/>
      </c>
      <c r="K86" s="109" t="str">
        <f t="shared" si="14"/>
        <v/>
      </c>
      <c r="L86" s="109" t="str">
        <f t="shared" si="14"/>
        <v/>
      </c>
      <c r="M86" s="109" t="str">
        <f t="shared" si="14"/>
        <v/>
      </c>
      <c r="N86" s="109" t="str">
        <f t="shared" si="14"/>
        <v/>
      </c>
      <c r="O86" s="109" t="str">
        <f t="shared" si="14"/>
        <v/>
      </c>
      <c r="P86" s="109" t="str">
        <f t="shared" si="14"/>
        <v/>
      </c>
      <c r="Q86" s="109" t="str">
        <f t="shared" si="14"/>
        <v/>
      </c>
      <c r="R86" s="109" t="str">
        <f t="shared" si="14"/>
        <v/>
      </c>
      <c r="S86" s="109" t="str">
        <f t="shared" si="14"/>
        <v/>
      </c>
      <c r="T86" s="109" t="str">
        <f t="shared" si="14"/>
        <v/>
      </c>
      <c r="U86" s="109" t="str">
        <f t="shared" si="14"/>
        <v/>
      </c>
      <c r="V86" s="109" t="str">
        <f t="shared" si="14"/>
        <v/>
      </c>
      <c r="W86" s="109" t="str">
        <f t="shared" si="14"/>
        <v/>
      </c>
      <c r="X86" s="109" t="str">
        <f t="shared" si="14"/>
        <v/>
      </c>
      <c r="Y86" s="108"/>
    </row>
    <row r="87" spans="1:25" ht="15.75" customHeight="1" x14ac:dyDescent="0.2">
      <c r="A87" s="102">
        <f>IF(B87=0,0,MAX($A$8:A86)+1)</f>
        <v>80</v>
      </c>
      <c r="B87" s="104" t="str">
        <f>NSTonghop!F87</f>
        <v>Lê Hoàng Sơn</v>
      </c>
      <c r="C87" s="105">
        <f>NSTonghop!G87</f>
        <v>0</v>
      </c>
      <c r="D87" s="106" t="str">
        <f>IF(C87=0,NSTonghop!H87,NSTonghop!I87)</f>
        <v>05/04/1979</v>
      </c>
      <c r="E87" s="107" t="str">
        <f>NSTonghop!AL87</f>
        <v>01/09/1998</v>
      </c>
      <c r="F87" s="107" t="str">
        <f>NSTonghop!AN87</f>
        <v>01/04/2001</v>
      </c>
      <c r="G87" s="88">
        <f t="shared" si="12"/>
        <v>4</v>
      </c>
      <c r="H87" s="108">
        <f t="shared" si="13"/>
        <v>1979</v>
      </c>
      <c r="I87" s="109" t="str">
        <f t="shared" si="11"/>
        <v/>
      </c>
      <c r="J87" s="109" t="str">
        <f t="shared" si="14"/>
        <v/>
      </c>
      <c r="K87" s="109" t="str">
        <f t="shared" si="14"/>
        <v/>
      </c>
      <c r="L87" s="109" t="str">
        <f t="shared" si="14"/>
        <v/>
      </c>
      <c r="M87" s="109" t="str">
        <f t="shared" si="14"/>
        <v/>
      </c>
      <c r="N87" s="109" t="str">
        <f t="shared" si="14"/>
        <v/>
      </c>
      <c r="O87" s="109" t="str">
        <f t="shared" si="14"/>
        <v/>
      </c>
      <c r="P87" s="109" t="str">
        <f t="shared" si="14"/>
        <v/>
      </c>
      <c r="Q87" s="109" t="str">
        <f t="shared" si="14"/>
        <v/>
      </c>
      <c r="R87" s="109" t="str">
        <f t="shared" si="14"/>
        <v/>
      </c>
      <c r="S87" s="109" t="str">
        <f t="shared" si="14"/>
        <v/>
      </c>
      <c r="T87" s="109" t="str">
        <f t="shared" si="14"/>
        <v/>
      </c>
      <c r="U87" s="109" t="str">
        <f t="shared" si="14"/>
        <v/>
      </c>
      <c r="V87" s="109" t="str">
        <f t="shared" si="14"/>
        <v/>
      </c>
      <c r="W87" s="109" t="str">
        <f t="shared" si="14"/>
        <v/>
      </c>
      <c r="X87" s="109" t="str">
        <f t="shared" si="14"/>
        <v/>
      </c>
      <c r="Y87" s="108"/>
    </row>
    <row r="88" spans="1:25" ht="15.75" customHeight="1" x14ac:dyDescent="0.2">
      <c r="A88" s="102">
        <f>IF(B88=0,0,MAX($A$8:A87)+1)</f>
        <v>81</v>
      </c>
      <c r="B88" s="104" t="str">
        <f>NSTonghop!F88</f>
        <v>Huỳnh Thảo Bích</v>
      </c>
      <c r="C88" s="105" t="str">
        <f>NSTonghop!G88</f>
        <v>x</v>
      </c>
      <c r="D88" s="106" t="str">
        <f>IF(C88=0,NSTonghop!H88,NSTonghop!I88)</f>
        <v>09/09/1979</v>
      </c>
      <c r="E88" s="107" t="str">
        <f>NSTonghop!AL88</f>
        <v>01/09/2002</v>
      </c>
      <c r="F88" s="107" t="str">
        <f>NSTonghop!AN88</f>
        <v>01/03/2003</v>
      </c>
      <c r="G88" s="88">
        <f t="shared" si="12"/>
        <v>9</v>
      </c>
      <c r="H88" s="108">
        <f t="shared" si="13"/>
        <v>1979</v>
      </c>
      <c r="I88" s="109" t="str">
        <f t="shared" si="11"/>
        <v/>
      </c>
      <c r="J88" s="109" t="str">
        <f t="shared" ref="J88:X97" si="15">IF(OR(AND($C88="x",J$7-$H88=55),AND($C88=0, J$7-$H88=60)),J$7-$H88,"")</f>
        <v/>
      </c>
      <c r="K88" s="109" t="str">
        <f t="shared" si="15"/>
        <v/>
      </c>
      <c r="L88" s="109" t="str">
        <f t="shared" si="15"/>
        <v/>
      </c>
      <c r="M88" s="109" t="str">
        <f t="shared" si="15"/>
        <v/>
      </c>
      <c r="N88" s="109" t="str">
        <f t="shared" si="15"/>
        <v/>
      </c>
      <c r="O88" s="109" t="str">
        <f t="shared" si="15"/>
        <v/>
      </c>
      <c r="P88" s="109" t="str">
        <f t="shared" si="15"/>
        <v/>
      </c>
      <c r="Q88" s="109" t="str">
        <f t="shared" si="15"/>
        <v/>
      </c>
      <c r="R88" s="109" t="str">
        <f t="shared" si="15"/>
        <v/>
      </c>
      <c r="S88" s="109" t="str">
        <f t="shared" si="15"/>
        <v/>
      </c>
      <c r="T88" s="109" t="str">
        <f t="shared" si="15"/>
        <v/>
      </c>
      <c r="U88" s="109" t="str">
        <f t="shared" si="15"/>
        <v/>
      </c>
      <c r="V88" s="109" t="str">
        <f t="shared" si="15"/>
        <v/>
      </c>
      <c r="W88" s="109" t="str">
        <f t="shared" si="15"/>
        <v/>
      </c>
      <c r="X88" s="109" t="str">
        <f t="shared" si="15"/>
        <v/>
      </c>
      <c r="Y88" s="108"/>
    </row>
    <row r="89" spans="1:25" ht="15.75" customHeight="1" x14ac:dyDescent="0.2">
      <c r="A89" s="102">
        <f>IF(B89=0,0,MAX($A$8:A88)+1)</f>
        <v>82</v>
      </c>
      <c r="B89" s="104" t="str">
        <f>NSTonghop!F89</f>
        <v>Phan Thị Anh Kim</v>
      </c>
      <c r="C89" s="105" t="str">
        <f>NSTonghop!G89</f>
        <v>x</v>
      </c>
      <c r="D89" s="106" t="str">
        <f>IF(C89=0,NSTonghop!H89,NSTonghop!I89)</f>
        <v>27/07/1990</v>
      </c>
      <c r="E89" s="107" t="str">
        <f>NSTonghop!AL89</f>
        <v>01/09/2012</v>
      </c>
      <c r="F89" s="107" t="str">
        <f>NSTonghop!AN89</f>
        <v>01/09/2013</v>
      </c>
      <c r="G89" s="88">
        <f t="shared" si="12"/>
        <v>7</v>
      </c>
      <c r="H89" s="108">
        <f t="shared" si="13"/>
        <v>1990</v>
      </c>
      <c r="I89" s="109" t="str">
        <f t="shared" si="11"/>
        <v/>
      </c>
      <c r="J89" s="109" t="str">
        <f t="shared" si="15"/>
        <v/>
      </c>
      <c r="K89" s="109" t="str">
        <f t="shared" si="15"/>
        <v/>
      </c>
      <c r="L89" s="109" t="str">
        <f t="shared" si="15"/>
        <v/>
      </c>
      <c r="M89" s="109" t="str">
        <f t="shared" si="15"/>
        <v/>
      </c>
      <c r="N89" s="109" t="str">
        <f t="shared" si="15"/>
        <v/>
      </c>
      <c r="O89" s="109" t="str">
        <f t="shared" si="15"/>
        <v/>
      </c>
      <c r="P89" s="109" t="str">
        <f t="shared" si="15"/>
        <v/>
      </c>
      <c r="Q89" s="109" t="str">
        <f t="shared" si="15"/>
        <v/>
      </c>
      <c r="R89" s="109" t="str">
        <f t="shared" si="15"/>
        <v/>
      </c>
      <c r="S89" s="109" t="str">
        <f t="shared" si="15"/>
        <v/>
      </c>
      <c r="T89" s="109" t="str">
        <f t="shared" si="15"/>
        <v/>
      </c>
      <c r="U89" s="109" t="str">
        <f t="shared" si="15"/>
        <v/>
      </c>
      <c r="V89" s="109" t="str">
        <f t="shared" si="15"/>
        <v/>
      </c>
      <c r="W89" s="109" t="str">
        <f t="shared" si="15"/>
        <v/>
      </c>
      <c r="X89" s="109" t="str">
        <f t="shared" si="15"/>
        <v/>
      </c>
      <c r="Y89" s="108"/>
    </row>
    <row r="90" spans="1:25" ht="15.75" customHeight="1" x14ac:dyDescent="0.2">
      <c r="A90" s="102">
        <f>IF(B90=0,0,MAX($A$8:A89)+1)</f>
        <v>83</v>
      </c>
      <c r="B90" s="104" t="str">
        <f>NSTonghop!F90</f>
        <v>Phan Công Trình</v>
      </c>
      <c r="C90" s="105">
        <f>NSTonghop!G90</f>
        <v>0</v>
      </c>
      <c r="D90" s="106" t="str">
        <f>IF(C90=0,NSTonghop!H90,NSTonghop!I90)</f>
        <v>23/08/1983</v>
      </c>
      <c r="E90" s="107" t="str">
        <f>NSTonghop!AL90</f>
        <v>01/09/2006</v>
      </c>
      <c r="F90" s="107" t="str">
        <f>NSTonghop!AN90</f>
        <v>01/09/2007</v>
      </c>
      <c r="G90" s="88">
        <f t="shared" si="12"/>
        <v>8</v>
      </c>
      <c r="H90" s="108">
        <f t="shared" si="13"/>
        <v>1983</v>
      </c>
      <c r="I90" s="109" t="str">
        <f t="shared" si="11"/>
        <v/>
      </c>
      <c r="J90" s="109" t="str">
        <f t="shared" si="15"/>
        <v/>
      </c>
      <c r="K90" s="109" t="str">
        <f t="shared" si="15"/>
        <v/>
      </c>
      <c r="L90" s="109" t="str">
        <f t="shared" si="15"/>
        <v/>
      </c>
      <c r="M90" s="109" t="str">
        <f t="shared" si="15"/>
        <v/>
      </c>
      <c r="N90" s="109" t="str">
        <f t="shared" si="15"/>
        <v/>
      </c>
      <c r="O90" s="109" t="str">
        <f t="shared" si="15"/>
        <v/>
      </c>
      <c r="P90" s="109" t="str">
        <f t="shared" si="15"/>
        <v/>
      </c>
      <c r="Q90" s="109" t="str">
        <f t="shared" si="15"/>
        <v/>
      </c>
      <c r="R90" s="109" t="str">
        <f t="shared" si="15"/>
        <v/>
      </c>
      <c r="S90" s="109" t="str">
        <f t="shared" si="15"/>
        <v/>
      </c>
      <c r="T90" s="109" t="str">
        <f t="shared" si="15"/>
        <v/>
      </c>
      <c r="U90" s="109" t="str">
        <f t="shared" si="15"/>
        <v/>
      </c>
      <c r="V90" s="109" t="str">
        <f t="shared" si="15"/>
        <v/>
      </c>
      <c r="W90" s="109" t="str">
        <f t="shared" si="15"/>
        <v/>
      </c>
      <c r="X90" s="109" t="str">
        <f t="shared" si="15"/>
        <v/>
      </c>
      <c r="Y90" s="108"/>
    </row>
    <row r="91" spans="1:25" ht="15.75" customHeight="1" x14ac:dyDescent="0.2">
      <c r="A91" s="102">
        <f>IF(B91=0,0,MAX($A$8:A90)+1)</f>
        <v>84</v>
      </c>
      <c r="B91" s="104" t="str">
        <f>NSTonghop!F91</f>
        <v>Phạm Tấn Phong</v>
      </c>
      <c r="C91" s="105">
        <f>NSTonghop!G91</f>
        <v>0</v>
      </c>
      <c r="D91" s="106" t="str">
        <f>IF(C91=0,NSTonghop!H91,NSTonghop!I91)</f>
        <v>16/06/1981</v>
      </c>
      <c r="E91" s="107" t="str">
        <f>NSTonghop!AL91</f>
        <v>01/09/2003</v>
      </c>
      <c r="F91" s="107" t="str">
        <f>NSTonghop!AN91</f>
        <v>01/03/2004</v>
      </c>
      <c r="G91" s="88">
        <f t="shared" si="12"/>
        <v>6</v>
      </c>
      <c r="H91" s="108">
        <f t="shared" si="13"/>
        <v>1981</v>
      </c>
      <c r="I91" s="109" t="str">
        <f t="shared" si="11"/>
        <v/>
      </c>
      <c r="J91" s="109" t="str">
        <f t="shared" si="15"/>
        <v/>
      </c>
      <c r="K91" s="109" t="str">
        <f t="shared" si="15"/>
        <v/>
      </c>
      <c r="L91" s="109" t="str">
        <f t="shared" si="15"/>
        <v/>
      </c>
      <c r="M91" s="109" t="str">
        <f t="shared" si="15"/>
        <v/>
      </c>
      <c r="N91" s="109" t="str">
        <f t="shared" si="15"/>
        <v/>
      </c>
      <c r="O91" s="109" t="str">
        <f t="shared" si="15"/>
        <v/>
      </c>
      <c r="P91" s="109" t="str">
        <f t="shared" si="15"/>
        <v/>
      </c>
      <c r="Q91" s="109" t="str">
        <f t="shared" si="15"/>
        <v/>
      </c>
      <c r="R91" s="109" t="str">
        <f t="shared" si="15"/>
        <v/>
      </c>
      <c r="S91" s="109" t="str">
        <f t="shared" si="15"/>
        <v/>
      </c>
      <c r="T91" s="109" t="str">
        <f t="shared" si="15"/>
        <v/>
      </c>
      <c r="U91" s="109" t="str">
        <f t="shared" si="15"/>
        <v/>
      </c>
      <c r="V91" s="109" t="str">
        <f t="shared" si="15"/>
        <v/>
      </c>
      <c r="W91" s="109" t="str">
        <f t="shared" si="15"/>
        <v/>
      </c>
      <c r="X91" s="109" t="str">
        <f t="shared" si="15"/>
        <v/>
      </c>
      <c r="Y91" s="108"/>
    </row>
    <row r="92" spans="1:25" ht="15.75" customHeight="1" x14ac:dyDescent="0.2">
      <c r="A92" s="102">
        <f>IF(B92=0,0,MAX($A$8:A91)+1)</f>
        <v>0</v>
      </c>
      <c r="B92" s="104">
        <f>NSTonghop!F92</f>
        <v>0</v>
      </c>
      <c r="C92" s="105">
        <f>NSTonghop!G92</f>
        <v>0</v>
      </c>
      <c r="D92" s="106">
        <f>IF(C92=0,NSTonghop!H92,NSTonghop!I92)</f>
        <v>0</v>
      </c>
      <c r="E92" s="107">
        <f>NSTonghop!AL92</f>
        <v>0</v>
      </c>
      <c r="F92" s="107">
        <f>NSTonghop!AN92</f>
        <v>0</v>
      </c>
      <c r="G92" s="88">
        <f t="shared" ref="G92:G106" si="16">IF(D92=0,0,MONTH(D92))</f>
        <v>0</v>
      </c>
      <c r="H92" s="108">
        <f t="shared" ref="H92:H106" si="17">IF(D92=0,0,YEAR(D92))</f>
        <v>0</v>
      </c>
      <c r="I92" s="109" t="str">
        <f t="shared" si="11"/>
        <v/>
      </c>
      <c r="J92" s="109" t="str">
        <f t="shared" si="15"/>
        <v/>
      </c>
      <c r="K92" s="109" t="str">
        <f t="shared" si="15"/>
        <v/>
      </c>
      <c r="L92" s="109" t="str">
        <f t="shared" si="15"/>
        <v/>
      </c>
      <c r="M92" s="109" t="str">
        <f t="shared" si="15"/>
        <v/>
      </c>
      <c r="N92" s="109" t="str">
        <f t="shared" si="15"/>
        <v/>
      </c>
      <c r="O92" s="109" t="str">
        <f t="shared" si="15"/>
        <v/>
      </c>
      <c r="P92" s="109" t="str">
        <f t="shared" si="15"/>
        <v/>
      </c>
      <c r="Q92" s="109" t="str">
        <f t="shared" si="15"/>
        <v/>
      </c>
      <c r="R92" s="109" t="str">
        <f t="shared" si="15"/>
        <v/>
      </c>
      <c r="S92" s="109" t="str">
        <f t="shared" si="15"/>
        <v/>
      </c>
      <c r="T92" s="109" t="str">
        <f t="shared" si="15"/>
        <v/>
      </c>
      <c r="U92" s="109" t="str">
        <f t="shared" si="15"/>
        <v/>
      </c>
      <c r="V92" s="109" t="str">
        <f t="shared" si="15"/>
        <v/>
      </c>
      <c r="W92" s="109" t="str">
        <f t="shared" si="15"/>
        <v/>
      </c>
      <c r="X92" s="109" t="str">
        <f t="shared" si="15"/>
        <v/>
      </c>
      <c r="Y92" s="108"/>
    </row>
    <row r="93" spans="1:25" ht="15.75" hidden="1" customHeight="1" x14ac:dyDescent="0.2">
      <c r="A93" s="102">
        <f>IF(B93=0,0,MAX($A$8:A92)+1)</f>
        <v>0</v>
      </c>
      <c r="B93" s="104">
        <f>NSTonghop!F93</f>
        <v>0</v>
      </c>
      <c r="C93" s="105">
        <f>NSTonghop!G93</f>
        <v>0</v>
      </c>
      <c r="D93" s="106">
        <f>IF(C93=0,NSTonghop!H93,NSTonghop!I93)</f>
        <v>0</v>
      </c>
      <c r="E93" s="107">
        <f>NSTonghop!AL93</f>
        <v>0</v>
      </c>
      <c r="F93" s="107">
        <f>NSTonghop!AN93</f>
        <v>0</v>
      </c>
      <c r="G93" s="88">
        <f t="shared" si="16"/>
        <v>0</v>
      </c>
      <c r="H93" s="108">
        <f t="shared" si="17"/>
        <v>0</v>
      </c>
      <c r="I93" s="109" t="str">
        <f t="shared" si="11"/>
        <v/>
      </c>
      <c r="J93" s="109" t="str">
        <f t="shared" si="15"/>
        <v/>
      </c>
      <c r="K93" s="109" t="str">
        <f t="shared" si="15"/>
        <v/>
      </c>
      <c r="L93" s="109" t="str">
        <f t="shared" si="15"/>
        <v/>
      </c>
      <c r="M93" s="109" t="str">
        <f t="shared" si="15"/>
        <v/>
      </c>
      <c r="N93" s="109" t="str">
        <f t="shared" si="15"/>
        <v/>
      </c>
      <c r="O93" s="109" t="str">
        <f t="shared" si="15"/>
        <v/>
      </c>
      <c r="P93" s="109" t="str">
        <f t="shared" si="15"/>
        <v/>
      </c>
      <c r="Q93" s="109" t="str">
        <f t="shared" si="15"/>
        <v/>
      </c>
      <c r="R93" s="109" t="str">
        <f t="shared" si="15"/>
        <v/>
      </c>
      <c r="S93" s="109" t="str">
        <f t="shared" si="15"/>
        <v/>
      </c>
      <c r="T93" s="109" t="str">
        <f t="shared" si="15"/>
        <v/>
      </c>
      <c r="U93" s="109" t="str">
        <f t="shared" si="15"/>
        <v/>
      </c>
      <c r="V93" s="109" t="str">
        <f t="shared" si="15"/>
        <v/>
      </c>
      <c r="W93" s="109" t="str">
        <f t="shared" si="15"/>
        <v/>
      </c>
      <c r="X93" s="109" t="str">
        <f t="shared" si="15"/>
        <v/>
      </c>
      <c r="Y93" s="108"/>
    </row>
    <row r="94" spans="1:25" ht="15.75" hidden="1" customHeight="1" x14ac:dyDescent="0.2">
      <c r="A94" s="102">
        <f>IF(B94=0,0,MAX($A$8:A93)+1)</f>
        <v>0</v>
      </c>
      <c r="B94" s="104">
        <f>NSTonghop!F94</f>
        <v>0</v>
      </c>
      <c r="C94" s="105">
        <f>NSTonghop!G94</f>
        <v>0</v>
      </c>
      <c r="D94" s="106">
        <f>IF(C94=0,NSTonghop!H94,NSTonghop!I94)</f>
        <v>0</v>
      </c>
      <c r="E94" s="107">
        <f>NSTonghop!AL94</f>
        <v>0</v>
      </c>
      <c r="F94" s="107">
        <f>NSTonghop!AN94</f>
        <v>0</v>
      </c>
      <c r="G94" s="88">
        <f t="shared" si="16"/>
        <v>0</v>
      </c>
      <c r="H94" s="108">
        <f t="shared" si="17"/>
        <v>0</v>
      </c>
      <c r="I94" s="109" t="str">
        <f t="shared" si="11"/>
        <v/>
      </c>
      <c r="J94" s="109" t="str">
        <f t="shared" si="15"/>
        <v/>
      </c>
      <c r="K94" s="109" t="str">
        <f t="shared" si="15"/>
        <v/>
      </c>
      <c r="L94" s="109" t="str">
        <f t="shared" si="15"/>
        <v/>
      </c>
      <c r="M94" s="109" t="str">
        <f t="shared" si="15"/>
        <v/>
      </c>
      <c r="N94" s="109" t="str">
        <f t="shared" si="15"/>
        <v/>
      </c>
      <c r="O94" s="109" t="str">
        <f t="shared" si="15"/>
        <v/>
      </c>
      <c r="P94" s="109" t="str">
        <f t="shared" si="15"/>
        <v/>
      </c>
      <c r="Q94" s="109" t="str">
        <f t="shared" si="15"/>
        <v/>
      </c>
      <c r="R94" s="109" t="str">
        <f t="shared" si="15"/>
        <v/>
      </c>
      <c r="S94" s="109" t="str">
        <f t="shared" si="15"/>
        <v/>
      </c>
      <c r="T94" s="109" t="str">
        <f t="shared" si="15"/>
        <v/>
      </c>
      <c r="U94" s="109" t="str">
        <f t="shared" si="15"/>
        <v/>
      </c>
      <c r="V94" s="109" t="str">
        <f t="shared" si="15"/>
        <v/>
      </c>
      <c r="W94" s="109" t="str">
        <f t="shared" si="15"/>
        <v/>
      </c>
      <c r="X94" s="109" t="str">
        <f t="shared" si="15"/>
        <v/>
      </c>
      <c r="Y94" s="108"/>
    </row>
    <row r="95" spans="1:25" ht="15.75" hidden="1" customHeight="1" x14ac:dyDescent="0.2">
      <c r="A95" s="102">
        <f>IF(B95=0,0,MAX($A$8:A94)+1)</f>
        <v>0</v>
      </c>
      <c r="B95" s="104">
        <f>NSTonghop!F95</f>
        <v>0</v>
      </c>
      <c r="C95" s="105">
        <f>NSTonghop!G95</f>
        <v>0</v>
      </c>
      <c r="D95" s="106">
        <f>IF(C95=0,NSTonghop!H95,NSTonghop!I95)</f>
        <v>0</v>
      </c>
      <c r="E95" s="107">
        <f>NSTonghop!AL95</f>
        <v>0</v>
      </c>
      <c r="F95" s="107">
        <f>NSTonghop!AN95</f>
        <v>0</v>
      </c>
      <c r="G95" s="88">
        <f t="shared" si="16"/>
        <v>0</v>
      </c>
      <c r="H95" s="108">
        <f t="shared" si="17"/>
        <v>0</v>
      </c>
      <c r="I95" s="109" t="str">
        <f t="shared" si="11"/>
        <v/>
      </c>
      <c r="J95" s="109" t="str">
        <f t="shared" si="15"/>
        <v/>
      </c>
      <c r="K95" s="109" t="str">
        <f t="shared" si="15"/>
        <v/>
      </c>
      <c r="L95" s="109" t="str">
        <f t="shared" si="15"/>
        <v/>
      </c>
      <c r="M95" s="109" t="str">
        <f t="shared" si="15"/>
        <v/>
      </c>
      <c r="N95" s="109" t="str">
        <f t="shared" si="15"/>
        <v/>
      </c>
      <c r="O95" s="109" t="str">
        <f t="shared" si="15"/>
        <v/>
      </c>
      <c r="P95" s="109" t="str">
        <f t="shared" si="15"/>
        <v/>
      </c>
      <c r="Q95" s="109" t="str">
        <f t="shared" si="15"/>
        <v/>
      </c>
      <c r="R95" s="109" t="str">
        <f t="shared" si="15"/>
        <v/>
      </c>
      <c r="S95" s="109" t="str">
        <f t="shared" si="15"/>
        <v/>
      </c>
      <c r="T95" s="109" t="str">
        <f t="shared" si="15"/>
        <v/>
      </c>
      <c r="U95" s="109" t="str">
        <f t="shared" si="15"/>
        <v/>
      </c>
      <c r="V95" s="109" t="str">
        <f t="shared" si="15"/>
        <v/>
      </c>
      <c r="W95" s="109" t="str">
        <f t="shared" si="15"/>
        <v/>
      </c>
      <c r="X95" s="109" t="str">
        <f t="shared" si="15"/>
        <v/>
      </c>
      <c r="Y95" s="108"/>
    </row>
    <row r="96" spans="1:25" ht="15.75" hidden="1" customHeight="1" x14ac:dyDescent="0.2">
      <c r="A96" s="102">
        <f>IF(B96=0,0,MAX($A$8:A95)+1)</f>
        <v>0</v>
      </c>
      <c r="B96" s="104">
        <f>NSTonghop!F96</f>
        <v>0</v>
      </c>
      <c r="C96" s="105">
        <f>NSTonghop!G96</f>
        <v>0</v>
      </c>
      <c r="D96" s="106">
        <f>IF(C96=0,NSTonghop!H96,NSTonghop!I96)</f>
        <v>0</v>
      </c>
      <c r="E96" s="107">
        <f>NSTonghop!AL96</f>
        <v>0</v>
      </c>
      <c r="F96" s="107">
        <f>NSTonghop!AN96</f>
        <v>0</v>
      </c>
      <c r="G96" s="88">
        <f t="shared" si="16"/>
        <v>0</v>
      </c>
      <c r="H96" s="108">
        <f t="shared" si="17"/>
        <v>0</v>
      </c>
      <c r="I96" s="109" t="str">
        <f t="shared" si="11"/>
        <v/>
      </c>
      <c r="J96" s="109" t="str">
        <f t="shared" si="15"/>
        <v/>
      </c>
      <c r="K96" s="109" t="str">
        <f t="shared" si="15"/>
        <v/>
      </c>
      <c r="L96" s="109" t="str">
        <f t="shared" si="15"/>
        <v/>
      </c>
      <c r="M96" s="109" t="str">
        <f t="shared" si="15"/>
        <v/>
      </c>
      <c r="N96" s="109" t="str">
        <f t="shared" si="15"/>
        <v/>
      </c>
      <c r="O96" s="109" t="str">
        <f t="shared" si="15"/>
        <v/>
      </c>
      <c r="P96" s="109" t="str">
        <f t="shared" si="15"/>
        <v/>
      </c>
      <c r="Q96" s="109" t="str">
        <f t="shared" si="15"/>
        <v/>
      </c>
      <c r="R96" s="109" t="str">
        <f t="shared" si="15"/>
        <v/>
      </c>
      <c r="S96" s="109" t="str">
        <f t="shared" si="15"/>
        <v/>
      </c>
      <c r="T96" s="109" t="str">
        <f t="shared" si="15"/>
        <v/>
      </c>
      <c r="U96" s="109" t="str">
        <f t="shared" si="15"/>
        <v/>
      </c>
      <c r="V96" s="109" t="str">
        <f t="shared" si="15"/>
        <v/>
      </c>
      <c r="W96" s="109" t="str">
        <f t="shared" si="15"/>
        <v/>
      </c>
      <c r="X96" s="109" t="str">
        <f t="shared" si="15"/>
        <v/>
      </c>
      <c r="Y96" s="108"/>
    </row>
    <row r="97" spans="1:25" ht="15.75" hidden="1" customHeight="1" x14ac:dyDescent="0.2">
      <c r="A97" s="102">
        <f>IF(B97=0,0,MAX($A$8:A96)+1)</f>
        <v>0</v>
      </c>
      <c r="B97" s="104">
        <f>NSTonghop!F97</f>
        <v>0</v>
      </c>
      <c r="C97" s="105">
        <f>NSTonghop!G97</f>
        <v>0</v>
      </c>
      <c r="D97" s="106">
        <f>IF(C97=0,NSTonghop!H97,NSTonghop!I97)</f>
        <v>0</v>
      </c>
      <c r="E97" s="107">
        <f>NSTonghop!AL97</f>
        <v>0</v>
      </c>
      <c r="F97" s="107">
        <f>NSTonghop!AN97</f>
        <v>0</v>
      </c>
      <c r="G97" s="88">
        <f t="shared" si="16"/>
        <v>0</v>
      </c>
      <c r="H97" s="108">
        <f t="shared" si="17"/>
        <v>0</v>
      </c>
      <c r="I97" s="109" t="str">
        <f t="shared" si="11"/>
        <v/>
      </c>
      <c r="J97" s="109" t="str">
        <f t="shared" si="15"/>
        <v/>
      </c>
      <c r="K97" s="109" t="str">
        <f t="shared" si="15"/>
        <v/>
      </c>
      <c r="L97" s="109" t="str">
        <f t="shared" si="15"/>
        <v/>
      </c>
      <c r="M97" s="109" t="str">
        <f t="shared" si="15"/>
        <v/>
      </c>
      <c r="N97" s="109" t="str">
        <f t="shared" si="15"/>
        <v/>
      </c>
      <c r="O97" s="109" t="str">
        <f t="shared" si="15"/>
        <v/>
      </c>
      <c r="P97" s="109" t="str">
        <f t="shared" si="15"/>
        <v/>
      </c>
      <c r="Q97" s="109" t="str">
        <f t="shared" si="15"/>
        <v/>
      </c>
      <c r="R97" s="109" t="str">
        <f t="shared" si="15"/>
        <v/>
      </c>
      <c r="S97" s="109" t="str">
        <f t="shared" si="15"/>
        <v/>
      </c>
      <c r="T97" s="109" t="str">
        <f t="shared" si="15"/>
        <v/>
      </c>
      <c r="U97" s="109" t="str">
        <f t="shared" si="15"/>
        <v/>
      </c>
      <c r="V97" s="109" t="str">
        <f t="shared" si="15"/>
        <v/>
      </c>
      <c r="W97" s="109" t="str">
        <f t="shared" si="15"/>
        <v/>
      </c>
      <c r="X97" s="109" t="str">
        <f t="shared" si="15"/>
        <v/>
      </c>
      <c r="Y97" s="108"/>
    </row>
    <row r="98" spans="1:25" ht="15.75" hidden="1" customHeight="1" x14ac:dyDescent="0.2">
      <c r="A98" s="102">
        <f>IF(B98=0,0,MAX($A$8:A97)+1)</f>
        <v>0</v>
      </c>
      <c r="B98" s="104">
        <f>NSTonghop!F98</f>
        <v>0</v>
      </c>
      <c r="C98" s="105">
        <f>NSTonghop!G98</f>
        <v>0</v>
      </c>
      <c r="D98" s="106">
        <f>IF(C98=0,NSTonghop!H98,NSTonghop!I98)</f>
        <v>0</v>
      </c>
      <c r="E98" s="107">
        <f>NSTonghop!AL98</f>
        <v>0</v>
      </c>
      <c r="F98" s="107">
        <f>NSTonghop!AN98</f>
        <v>0</v>
      </c>
      <c r="G98" s="88">
        <f t="shared" si="16"/>
        <v>0</v>
      </c>
      <c r="H98" s="108">
        <f t="shared" si="17"/>
        <v>0</v>
      </c>
      <c r="I98" s="109" t="str">
        <f t="shared" si="11"/>
        <v/>
      </c>
      <c r="J98" s="109" t="str">
        <f t="shared" ref="J98:X106" si="18">IF(OR(AND($C98="x",J$7-$H98=55),AND($C98=0, J$7-$H98=60)),J$7-$H98,"")</f>
        <v/>
      </c>
      <c r="K98" s="109" t="str">
        <f t="shared" si="18"/>
        <v/>
      </c>
      <c r="L98" s="109" t="str">
        <f t="shared" si="18"/>
        <v/>
      </c>
      <c r="M98" s="109" t="str">
        <f t="shared" si="18"/>
        <v/>
      </c>
      <c r="N98" s="109" t="str">
        <f t="shared" si="18"/>
        <v/>
      </c>
      <c r="O98" s="109" t="str">
        <f t="shared" si="18"/>
        <v/>
      </c>
      <c r="P98" s="109" t="str">
        <f t="shared" si="18"/>
        <v/>
      </c>
      <c r="Q98" s="109" t="str">
        <f t="shared" si="18"/>
        <v/>
      </c>
      <c r="R98" s="109" t="str">
        <f t="shared" si="18"/>
        <v/>
      </c>
      <c r="S98" s="109" t="str">
        <f t="shared" si="18"/>
        <v/>
      </c>
      <c r="T98" s="109" t="str">
        <f t="shared" si="18"/>
        <v/>
      </c>
      <c r="U98" s="109" t="str">
        <f t="shared" si="18"/>
        <v/>
      </c>
      <c r="V98" s="109" t="str">
        <f t="shared" si="18"/>
        <v/>
      </c>
      <c r="W98" s="109" t="str">
        <f t="shared" si="18"/>
        <v/>
      </c>
      <c r="X98" s="109" t="str">
        <f t="shared" si="18"/>
        <v/>
      </c>
      <c r="Y98" s="108"/>
    </row>
    <row r="99" spans="1:25" ht="15.75" hidden="1" customHeight="1" x14ac:dyDescent="0.2">
      <c r="A99" s="102">
        <f>IF(B99=0,0,MAX($A$8:A98)+1)</f>
        <v>0</v>
      </c>
      <c r="B99" s="104">
        <f>NSTonghop!F99</f>
        <v>0</v>
      </c>
      <c r="C99" s="105">
        <f>NSTonghop!G99</f>
        <v>0</v>
      </c>
      <c r="D99" s="106">
        <f>IF(C99=0,NSTonghop!H99,NSTonghop!I99)</f>
        <v>0</v>
      </c>
      <c r="E99" s="107">
        <f>NSTonghop!AL99</f>
        <v>0</v>
      </c>
      <c r="F99" s="107">
        <f>NSTonghop!AN99</f>
        <v>0</v>
      </c>
      <c r="G99" s="88">
        <f t="shared" si="16"/>
        <v>0</v>
      </c>
      <c r="H99" s="108">
        <f t="shared" si="17"/>
        <v>0</v>
      </c>
      <c r="I99" s="109" t="str">
        <f t="shared" si="11"/>
        <v/>
      </c>
      <c r="J99" s="109" t="str">
        <f t="shared" si="18"/>
        <v/>
      </c>
      <c r="K99" s="109" t="str">
        <f t="shared" si="18"/>
        <v/>
      </c>
      <c r="L99" s="109" t="str">
        <f t="shared" si="18"/>
        <v/>
      </c>
      <c r="M99" s="109" t="str">
        <f t="shared" si="18"/>
        <v/>
      </c>
      <c r="N99" s="109" t="str">
        <f t="shared" si="18"/>
        <v/>
      </c>
      <c r="O99" s="109" t="str">
        <f t="shared" si="18"/>
        <v/>
      </c>
      <c r="P99" s="109" t="str">
        <f t="shared" si="18"/>
        <v/>
      </c>
      <c r="Q99" s="109" t="str">
        <f t="shared" si="18"/>
        <v/>
      </c>
      <c r="R99" s="109" t="str">
        <f t="shared" si="18"/>
        <v/>
      </c>
      <c r="S99" s="109" t="str">
        <f t="shared" si="18"/>
        <v/>
      </c>
      <c r="T99" s="109" t="str">
        <f t="shared" si="18"/>
        <v/>
      </c>
      <c r="U99" s="109" t="str">
        <f t="shared" si="18"/>
        <v/>
      </c>
      <c r="V99" s="109" t="str">
        <f t="shared" si="18"/>
        <v/>
      </c>
      <c r="W99" s="109" t="str">
        <f t="shared" si="18"/>
        <v/>
      </c>
      <c r="X99" s="109" t="str">
        <f t="shared" si="18"/>
        <v/>
      </c>
      <c r="Y99" s="108"/>
    </row>
    <row r="100" spans="1:25" ht="15.75" hidden="1" customHeight="1" x14ac:dyDescent="0.2">
      <c r="A100" s="102">
        <f>IF(B100=0,0,MAX($A$8:A99)+1)</f>
        <v>0</v>
      </c>
      <c r="B100" s="104">
        <f>NSTonghop!F100</f>
        <v>0</v>
      </c>
      <c r="C100" s="105">
        <f>NSTonghop!G100</f>
        <v>0</v>
      </c>
      <c r="D100" s="106">
        <f>IF(C100=0,NSTonghop!H100,NSTonghop!I100)</f>
        <v>0</v>
      </c>
      <c r="E100" s="107">
        <f>NSTonghop!AL100</f>
        <v>0</v>
      </c>
      <c r="F100" s="107">
        <f>NSTonghop!AN100</f>
        <v>0</v>
      </c>
      <c r="G100" s="88">
        <f t="shared" si="16"/>
        <v>0</v>
      </c>
      <c r="H100" s="108">
        <f t="shared" si="17"/>
        <v>0</v>
      </c>
      <c r="I100" s="109" t="str">
        <f t="shared" si="11"/>
        <v/>
      </c>
      <c r="J100" s="109" t="str">
        <f t="shared" si="18"/>
        <v/>
      </c>
      <c r="K100" s="109" t="str">
        <f t="shared" si="18"/>
        <v/>
      </c>
      <c r="L100" s="109" t="str">
        <f t="shared" si="18"/>
        <v/>
      </c>
      <c r="M100" s="109" t="str">
        <f t="shared" si="18"/>
        <v/>
      </c>
      <c r="N100" s="109" t="str">
        <f t="shared" si="18"/>
        <v/>
      </c>
      <c r="O100" s="109" t="str">
        <f t="shared" si="18"/>
        <v/>
      </c>
      <c r="P100" s="109" t="str">
        <f t="shared" si="18"/>
        <v/>
      </c>
      <c r="Q100" s="109" t="str">
        <f t="shared" si="18"/>
        <v/>
      </c>
      <c r="R100" s="109" t="str">
        <f t="shared" si="18"/>
        <v/>
      </c>
      <c r="S100" s="109" t="str">
        <f t="shared" si="18"/>
        <v/>
      </c>
      <c r="T100" s="109" t="str">
        <f t="shared" si="18"/>
        <v/>
      </c>
      <c r="U100" s="109" t="str">
        <f t="shared" si="18"/>
        <v/>
      </c>
      <c r="V100" s="109" t="str">
        <f t="shared" si="18"/>
        <v/>
      </c>
      <c r="W100" s="109" t="str">
        <f t="shared" si="18"/>
        <v/>
      </c>
      <c r="X100" s="109" t="str">
        <f t="shared" si="18"/>
        <v/>
      </c>
      <c r="Y100" s="108"/>
    </row>
    <row r="101" spans="1:25" ht="15.75" hidden="1" customHeight="1" x14ac:dyDescent="0.2">
      <c r="A101" s="102">
        <f>IF(B101=0,0,MAX($A$8:A100)+1)</f>
        <v>0</v>
      </c>
      <c r="B101" s="104">
        <f>NSTonghop!F101</f>
        <v>0</v>
      </c>
      <c r="C101" s="105">
        <f>NSTonghop!G101</f>
        <v>0</v>
      </c>
      <c r="D101" s="106">
        <f>IF(C101=0,NSTonghop!H101,NSTonghop!I101)</f>
        <v>0</v>
      </c>
      <c r="E101" s="107">
        <f>NSTonghop!AL101</f>
        <v>0</v>
      </c>
      <c r="F101" s="107">
        <f>NSTonghop!AN101</f>
        <v>0</v>
      </c>
      <c r="G101" s="88">
        <f t="shared" si="16"/>
        <v>0</v>
      </c>
      <c r="H101" s="108">
        <f t="shared" si="17"/>
        <v>0</v>
      </c>
      <c r="I101" s="109" t="str">
        <f t="shared" si="11"/>
        <v/>
      </c>
      <c r="J101" s="109" t="str">
        <f t="shared" si="18"/>
        <v/>
      </c>
      <c r="K101" s="109" t="str">
        <f t="shared" si="18"/>
        <v/>
      </c>
      <c r="L101" s="109" t="str">
        <f t="shared" si="18"/>
        <v/>
      </c>
      <c r="M101" s="109" t="str">
        <f t="shared" si="18"/>
        <v/>
      </c>
      <c r="N101" s="109" t="str">
        <f t="shared" si="18"/>
        <v/>
      </c>
      <c r="O101" s="109" t="str">
        <f t="shared" si="18"/>
        <v/>
      </c>
      <c r="P101" s="109" t="str">
        <f t="shared" si="18"/>
        <v/>
      </c>
      <c r="Q101" s="109" t="str">
        <f t="shared" si="18"/>
        <v/>
      </c>
      <c r="R101" s="109" t="str">
        <f t="shared" si="18"/>
        <v/>
      </c>
      <c r="S101" s="109" t="str">
        <f t="shared" si="18"/>
        <v/>
      </c>
      <c r="T101" s="109" t="str">
        <f t="shared" si="18"/>
        <v/>
      </c>
      <c r="U101" s="109" t="str">
        <f t="shared" si="18"/>
        <v/>
      </c>
      <c r="V101" s="109" t="str">
        <f t="shared" si="18"/>
        <v/>
      </c>
      <c r="W101" s="109" t="str">
        <f t="shared" si="18"/>
        <v/>
      </c>
      <c r="X101" s="109" t="str">
        <f t="shared" si="18"/>
        <v/>
      </c>
      <c r="Y101" s="108"/>
    </row>
    <row r="102" spans="1:25" ht="15.75" hidden="1" customHeight="1" x14ac:dyDescent="0.2">
      <c r="A102" s="102">
        <f>IF(B102=0,0,MAX($A$8:A101)+1)</f>
        <v>0</v>
      </c>
      <c r="B102" s="104">
        <f>NSTonghop!F102</f>
        <v>0</v>
      </c>
      <c r="C102" s="105">
        <f>NSTonghop!G102</f>
        <v>0</v>
      </c>
      <c r="D102" s="106">
        <f>IF(C102=0,NSTonghop!H102,NSTonghop!I102)</f>
        <v>0</v>
      </c>
      <c r="E102" s="107">
        <f>NSTonghop!AL102</f>
        <v>0</v>
      </c>
      <c r="F102" s="107">
        <f>NSTonghop!AN102</f>
        <v>0</v>
      </c>
      <c r="G102" s="88">
        <f t="shared" si="16"/>
        <v>0</v>
      </c>
      <c r="H102" s="108">
        <f t="shared" si="17"/>
        <v>0</v>
      </c>
      <c r="I102" s="109" t="str">
        <f t="shared" si="11"/>
        <v/>
      </c>
      <c r="J102" s="109" t="str">
        <f t="shared" si="18"/>
        <v/>
      </c>
      <c r="K102" s="109" t="str">
        <f t="shared" si="18"/>
        <v/>
      </c>
      <c r="L102" s="109" t="str">
        <f t="shared" si="18"/>
        <v/>
      </c>
      <c r="M102" s="109" t="str">
        <f t="shared" si="18"/>
        <v/>
      </c>
      <c r="N102" s="109" t="str">
        <f t="shared" si="18"/>
        <v/>
      </c>
      <c r="O102" s="109" t="str">
        <f t="shared" si="18"/>
        <v/>
      </c>
      <c r="P102" s="109" t="str">
        <f t="shared" si="18"/>
        <v/>
      </c>
      <c r="Q102" s="109" t="str">
        <f t="shared" si="18"/>
        <v/>
      </c>
      <c r="R102" s="109" t="str">
        <f t="shared" si="18"/>
        <v/>
      </c>
      <c r="S102" s="109" t="str">
        <f t="shared" si="18"/>
        <v/>
      </c>
      <c r="T102" s="109" t="str">
        <f t="shared" si="18"/>
        <v/>
      </c>
      <c r="U102" s="109" t="str">
        <f t="shared" si="18"/>
        <v/>
      </c>
      <c r="V102" s="109" t="str">
        <f t="shared" si="18"/>
        <v/>
      </c>
      <c r="W102" s="109" t="str">
        <f t="shared" si="18"/>
        <v/>
      </c>
      <c r="X102" s="109" t="str">
        <f t="shared" si="18"/>
        <v/>
      </c>
      <c r="Y102" s="108"/>
    </row>
    <row r="103" spans="1:25" ht="15.75" hidden="1" customHeight="1" x14ac:dyDescent="0.2">
      <c r="A103" s="102">
        <f>IF(B103=0,0,MAX($A$8:A102)+1)</f>
        <v>0</v>
      </c>
      <c r="B103" s="104">
        <f>NSTonghop!F103</f>
        <v>0</v>
      </c>
      <c r="C103" s="105">
        <f>NSTonghop!G103</f>
        <v>0</v>
      </c>
      <c r="D103" s="106">
        <f>IF(C103=0,NSTonghop!H103,NSTonghop!I103)</f>
        <v>0</v>
      </c>
      <c r="E103" s="107">
        <f>NSTonghop!AL103</f>
        <v>0</v>
      </c>
      <c r="F103" s="107">
        <f>NSTonghop!AN103</f>
        <v>0</v>
      </c>
      <c r="G103" s="88">
        <f t="shared" si="16"/>
        <v>0</v>
      </c>
      <c r="H103" s="108">
        <f t="shared" si="17"/>
        <v>0</v>
      </c>
      <c r="I103" s="109" t="str">
        <f t="shared" si="11"/>
        <v/>
      </c>
      <c r="J103" s="109" t="str">
        <f t="shared" si="18"/>
        <v/>
      </c>
      <c r="K103" s="109" t="str">
        <f t="shared" si="18"/>
        <v/>
      </c>
      <c r="L103" s="109" t="str">
        <f t="shared" si="18"/>
        <v/>
      </c>
      <c r="M103" s="109" t="str">
        <f t="shared" si="18"/>
        <v/>
      </c>
      <c r="N103" s="109" t="str">
        <f t="shared" si="18"/>
        <v/>
      </c>
      <c r="O103" s="109" t="str">
        <f t="shared" si="18"/>
        <v/>
      </c>
      <c r="P103" s="109" t="str">
        <f t="shared" si="18"/>
        <v/>
      </c>
      <c r="Q103" s="109" t="str">
        <f t="shared" si="18"/>
        <v/>
      </c>
      <c r="R103" s="109" t="str">
        <f t="shared" si="18"/>
        <v/>
      </c>
      <c r="S103" s="109" t="str">
        <f t="shared" si="18"/>
        <v/>
      </c>
      <c r="T103" s="109" t="str">
        <f t="shared" si="18"/>
        <v/>
      </c>
      <c r="U103" s="109" t="str">
        <f t="shared" si="18"/>
        <v/>
      </c>
      <c r="V103" s="109" t="str">
        <f t="shared" si="18"/>
        <v/>
      </c>
      <c r="W103" s="109" t="str">
        <f t="shared" si="18"/>
        <v/>
      </c>
      <c r="X103" s="109" t="str">
        <f t="shared" si="18"/>
        <v/>
      </c>
      <c r="Y103" s="108"/>
    </row>
    <row r="104" spans="1:25" ht="15.75" hidden="1" customHeight="1" x14ac:dyDescent="0.2">
      <c r="A104" s="102">
        <f>IF(B104=0,0,MAX($A$8:A103)+1)</f>
        <v>0</v>
      </c>
      <c r="B104" s="104">
        <f>NSTonghop!F104</f>
        <v>0</v>
      </c>
      <c r="C104" s="105">
        <f>NSTonghop!G104</f>
        <v>0</v>
      </c>
      <c r="D104" s="106">
        <f>IF(C104=0,NSTonghop!H104,NSTonghop!I104)</f>
        <v>0</v>
      </c>
      <c r="E104" s="107">
        <f>NSTonghop!AL104</f>
        <v>0</v>
      </c>
      <c r="F104" s="107">
        <f>NSTonghop!AN104</f>
        <v>0</v>
      </c>
      <c r="G104" s="88">
        <f t="shared" si="16"/>
        <v>0</v>
      </c>
      <c r="H104" s="108">
        <f t="shared" si="17"/>
        <v>0</v>
      </c>
      <c r="I104" s="109" t="str">
        <f t="shared" si="11"/>
        <v/>
      </c>
      <c r="J104" s="109" t="str">
        <f t="shared" si="18"/>
        <v/>
      </c>
      <c r="K104" s="109" t="str">
        <f t="shared" si="18"/>
        <v/>
      </c>
      <c r="L104" s="109" t="str">
        <f t="shared" si="18"/>
        <v/>
      </c>
      <c r="M104" s="109" t="str">
        <f t="shared" si="18"/>
        <v/>
      </c>
      <c r="N104" s="109" t="str">
        <f t="shared" si="18"/>
        <v/>
      </c>
      <c r="O104" s="109" t="str">
        <f t="shared" si="18"/>
        <v/>
      </c>
      <c r="P104" s="109" t="str">
        <f t="shared" si="18"/>
        <v/>
      </c>
      <c r="Q104" s="109" t="str">
        <f t="shared" si="18"/>
        <v/>
      </c>
      <c r="R104" s="109" t="str">
        <f t="shared" si="18"/>
        <v/>
      </c>
      <c r="S104" s="109" t="str">
        <f t="shared" si="18"/>
        <v/>
      </c>
      <c r="T104" s="109" t="str">
        <f t="shared" si="18"/>
        <v/>
      </c>
      <c r="U104" s="109" t="str">
        <f t="shared" si="18"/>
        <v/>
      </c>
      <c r="V104" s="109" t="str">
        <f t="shared" si="18"/>
        <v/>
      </c>
      <c r="W104" s="109" t="str">
        <f t="shared" si="18"/>
        <v/>
      </c>
      <c r="X104" s="109" t="str">
        <f t="shared" si="18"/>
        <v/>
      </c>
      <c r="Y104" s="108"/>
    </row>
    <row r="105" spans="1:25" ht="15.75" hidden="1" customHeight="1" x14ac:dyDescent="0.2">
      <c r="A105" s="102">
        <f>IF(B105=0,0,MAX($A$8:A104)+1)</f>
        <v>0</v>
      </c>
      <c r="B105" s="104">
        <f>NSTonghop!F105</f>
        <v>0</v>
      </c>
      <c r="C105" s="105">
        <f>NSTonghop!G105</f>
        <v>0</v>
      </c>
      <c r="D105" s="106">
        <f>IF(C105=0,NSTonghop!H105,NSTonghop!I105)</f>
        <v>0</v>
      </c>
      <c r="E105" s="107">
        <f>NSTonghop!AL105</f>
        <v>0</v>
      </c>
      <c r="F105" s="107">
        <f>NSTonghop!AN105</f>
        <v>0</v>
      </c>
      <c r="G105" s="88">
        <f t="shared" si="16"/>
        <v>0</v>
      </c>
      <c r="H105" s="108">
        <f t="shared" si="17"/>
        <v>0</v>
      </c>
      <c r="I105" s="109" t="str">
        <f t="shared" si="11"/>
        <v/>
      </c>
      <c r="J105" s="109" t="str">
        <f t="shared" si="18"/>
        <v/>
      </c>
      <c r="K105" s="109" t="str">
        <f t="shared" si="18"/>
        <v/>
      </c>
      <c r="L105" s="109" t="str">
        <f t="shared" si="18"/>
        <v/>
      </c>
      <c r="M105" s="109" t="str">
        <f t="shared" si="18"/>
        <v/>
      </c>
      <c r="N105" s="109" t="str">
        <f t="shared" si="18"/>
        <v/>
      </c>
      <c r="O105" s="109" t="str">
        <f t="shared" si="18"/>
        <v/>
      </c>
      <c r="P105" s="109" t="str">
        <f t="shared" si="18"/>
        <v/>
      </c>
      <c r="Q105" s="109" t="str">
        <f t="shared" si="18"/>
        <v/>
      </c>
      <c r="R105" s="109" t="str">
        <f t="shared" si="18"/>
        <v/>
      </c>
      <c r="S105" s="109" t="str">
        <f t="shared" si="18"/>
        <v/>
      </c>
      <c r="T105" s="109" t="str">
        <f t="shared" si="18"/>
        <v/>
      </c>
      <c r="U105" s="109" t="str">
        <f t="shared" si="18"/>
        <v/>
      </c>
      <c r="V105" s="109" t="str">
        <f t="shared" si="18"/>
        <v/>
      </c>
      <c r="W105" s="109" t="str">
        <f t="shared" si="18"/>
        <v/>
      </c>
      <c r="X105" s="109" t="str">
        <f t="shared" si="18"/>
        <v/>
      </c>
      <c r="Y105" s="108"/>
    </row>
    <row r="106" spans="1:25" ht="15.75" customHeight="1" x14ac:dyDescent="0.2">
      <c r="A106" s="102">
        <f>IF(B106=0,0,MAX($A$8:A105)+1)</f>
        <v>0</v>
      </c>
      <c r="B106" s="104">
        <f>NSTonghop!F106</f>
        <v>0</v>
      </c>
      <c r="C106" s="105">
        <f>NSTonghop!G106</f>
        <v>0</v>
      </c>
      <c r="D106" s="106">
        <f>IF(C106=0,NSTonghop!H106,NSTonghop!I106)</f>
        <v>0</v>
      </c>
      <c r="E106" s="107">
        <f>NSTonghop!AL106</f>
        <v>0</v>
      </c>
      <c r="F106" s="107">
        <f>NSTonghop!AN106</f>
        <v>0</v>
      </c>
      <c r="G106" s="88">
        <f t="shared" si="16"/>
        <v>0</v>
      </c>
      <c r="H106" s="108">
        <f t="shared" si="17"/>
        <v>0</v>
      </c>
      <c r="I106" s="109" t="str">
        <f t="shared" si="11"/>
        <v/>
      </c>
      <c r="J106" s="109" t="str">
        <f t="shared" si="18"/>
        <v/>
      </c>
      <c r="K106" s="109" t="str">
        <f t="shared" si="18"/>
        <v/>
      </c>
      <c r="L106" s="109" t="str">
        <f t="shared" si="18"/>
        <v/>
      </c>
      <c r="M106" s="109" t="str">
        <f t="shared" si="18"/>
        <v/>
      </c>
      <c r="N106" s="109" t="str">
        <f t="shared" si="18"/>
        <v/>
      </c>
      <c r="O106" s="109" t="str">
        <f t="shared" si="18"/>
        <v/>
      </c>
      <c r="P106" s="109" t="str">
        <f t="shared" si="18"/>
        <v/>
      </c>
      <c r="Q106" s="109" t="str">
        <f t="shared" si="18"/>
        <v/>
      </c>
      <c r="R106" s="109" t="str">
        <f t="shared" si="18"/>
        <v/>
      </c>
      <c r="S106" s="109" t="str">
        <f t="shared" si="18"/>
        <v/>
      </c>
      <c r="T106" s="109" t="str">
        <f t="shared" si="18"/>
        <v/>
      </c>
      <c r="U106" s="109" t="str">
        <f t="shared" si="18"/>
        <v/>
      </c>
      <c r="V106" s="109" t="str">
        <f t="shared" si="18"/>
        <v/>
      </c>
      <c r="W106" s="109" t="str">
        <f t="shared" si="18"/>
        <v/>
      </c>
      <c r="X106" s="109" t="str">
        <f t="shared" si="18"/>
        <v/>
      </c>
      <c r="Y106" s="108"/>
    </row>
    <row r="107" spans="1:25" ht="15.75" customHeight="1" x14ac:dyDescent="0.2">
      <c r="A107" s="103"/>
      <c r="B107" s="800" t="s">
        <v>634</v>
      </c>
      <c r="C107" s="801"/>
      <c r="D107" s="801"/>
      <c r="E107" s="801"/>
      <c r="F107" s="801"/>
      <c r="G107" s="801"/>
      <c r="H107" s="802"/>
      <c r="I107" s="90">
        <f t="shared" ref="I107:X107" si="19">COUNT(I8:I106)</f>
        <v>0</v>
      </c>
      <c r="J107" s="90">
        <f t="shared" si="19"/>
        <v>0</v>
      </c>
      <c r="K107" s="90">
        <f t="shared" si="19"/>
        <v>1</v>
      </c>
      <c r="L107" s="90">
        <f t="shared" si="19"/>
        <v>0</v>
      </c>
      <c r="M107" s="90">
        <f t="shared" si="19"/>
        <v>2</v>
      </c>
      <c r="N107" s="90">
        <f t="shared" si="19"/>
        <v>4</v>
      </c>
      <c r="O107" s="90">
        <f t="shared" si="19"/>
        <v>3</v>
      </c>
      <c r="P107" s="90">
        <f t="shared" si="19"/>
        <v>2</v>
      </c>
      <c r="Q107" s="90">
        <f t="shared" si="19"/>
        <v>1</v>
      </c>
      <c r="R107" s="90">
        <f t="shared" si="19"/>
        <v>6</v>
      </c>
      <c r="S107" s="90">
        <f t="shared" si="19"/>
        <v>3</v>
      </c>
      <c r="T107" s="90">
        <f t="shared" si="19"/>
        <v>2</v>
      </c>
      <c r="U107" s="90">
        <f t="shared" si="19"/>
        <v>1</v>
      </c>
      <c r="V107" s="90">
        <f t="shared" si="19"/>
        <v>2</v>
      </c>
      <c r="W107" s="90">
        <f t="shared" si="19"/>
        <v>1</v>
      </c>
      <c r="X107" s="90">
        <f t="shared" si="19"/>
        <v>0</v>
      </c>
      <c r="Y107" s="89"/>
    </row>
    <row r="108" spans="1:25" ht="15.75" customHeight="1" x14ac:dyDescent="0.2">
      <c r="A108" s="99" t="str">
        <f>IF(B108="","",MAX(#REF!)+1)</f>
        <v/>
      </c>
      <c r="B108" s="92"/>
      <c r="C108" s="93"/>
      <c r="D108" s="94"/>
      <c r="E108" s="95"/>
      <c r="F108" s="95"/>
      <c r="G108" s="96">
        <f>MONTH(D108)</f>
        <v>1</v>
      </c>
      <c r="H108" s="97">
        <f>YEAR(D108)</f>
        <v>1900</v>
      </c>
      <c r="I108" s="98">
        <f>IF(AND($C108="",$I$7-$H108&lt;55),"",$I$7-$H108)</f>
        <v>115</v>
      </c>
      <c r="J108" s="98">
        <f>IF(AND($C108="",$J$7-$H108&lt;55),"",$J$7-$H108)</f>
        <v>116</v>
      </c>
      <c r="K108" s="98">
        <f>IF(AND($C108="",$K$7-$H108&lt;55),"",$K$7-$H108)</f>
        <v>117</v>
      </c>
      <c r="L108" s="98">
        <f>IF(AND($C108="",$L$7-$H108&lt;55),"",$L$7-$H108)</f>
        <v>118</v>
      </c>
      <c r="M108" s="98">
        <f>IF(AND($C108="",$M$7-$H108&lt;55),"",$M$7-$H108)</f>
        <v>119</v>
      </c>
      <c r="N108" s="98">
        <f>IF(AND($C108="",$N$7-$H108&lt;55),"",$N$7-$H108)</f>
        <v>120</v>
      </c>
      <c r="O108" s="98">
        <f>IF(AND($C108="",$O$7-$H108&lt;55),"",$O$7-$H108)</f>
        <v>121</v>
      </c>
      <c r="P108" s="98">
        <f>IF(AND($C108="",$P$7-$H108&lt;55),"",$P$7-$H108)</f>
        <v>122</v>
      </c>
      <c r="Q108" s="98">
        <f>IF(AND($C108="",$Q$7-$H108&lt;55),"",$Q$7-$H108)</f>
        <v>123</v>
      </c>
      <c r="R108" s="98">
        <f>IF(AND($C108="",$R$7-$H108&lt;55),"",$R$7-$H108)</f>
        <v>124</v>
      </c>
      <c r="S108" s="98">
        <f>IF(AND($C108="",$S$7-$H108&lt;55),"",$S$7-$H108)</f>
        <v>125</v>
      </c>
      <c r="T108" s="98">
        <f>IF(AND($C108="",$T$7-$H108&lt;55),"",$T$7-$H108)</f>
        <v>126</v>
      </c>
      <c r="U108" s="98"/>
      <c r="V108" s="98"/>
      <c r="W108" s="98"/>
      <c r="X108" s="98">
        <f>IF(AND($C108="",$X$7-$H108&lt;55),"",$X$7-$H108)</f>
        <v>130</v>
      </c>
      <c r="Y108" s="97"/>
    </row>
    <row r="109" spans="1:25" ht="15.75" customHeight="1" x14ac:dyDescent="0.2"/>
    <row r="110" spans="1:25" ht="15.75" customHeight="1" x14ac:dyDescent="0.2"/>
    <row r="111" spans="1:25" ht="15.75" customHeight="1" x14ac:dyDescent="0.2"/>
    <row r="112" spans="1:25" ht="15.75" customHeight="1" x14ac:dyDescent="0.2"/>
    <row r="113" ht="15.75" customHeight="1" x14ac:dyDescent="0.2"/>
    <row r="114" ht="15.75" customHeight="1" x14ac:dyDescent="0.2"/>
    <row r="115" ht="15.75" customHeight="1" x14ac:dyDescent="0.2"/>
  </sheetData>
  <autoFilter ref="I7:X7"/>
  <mergeCells count="12">
    <mergeCell ref="Y5:Y7"/>
    <mergeCell ref="H5:H6"/>
    <mergeCell ref="G5:G7"/>
    <mergeCell ref="E6:E7"/>
    <mergeCell ref="F6:F7"/>
    <mergeCell ref="E5:F5"/>
    <mergeCell ref="B107:H107"/>
    <mergeCell ref="I5:X6"/>
    <mergeCell ref="A5:A7"/>
    <mergeCell ref="B5:B7"/>
    <mergeCell ref="C5:C7"/>
    <mergeCell ref="D5:D7"/>
  </mergeCells>
  <conditionalFormatting sqref="I8:Y106">
    <cfRule type="colorScale" priority="1">
      <colorScale>
        <cfvo type="num" val="55"/>
        <cfvo type="max"/>
        <color rgb="FFFF7128"/>
        <color rgb="FFFFEF9C"/>
      </colorScale>
    </cfRule>
  </conditionalFormatting>
  <dataValidations disablePrompts="1" count="2">
    <dataValidation allowBlank="1" showInputMessage="1" showErrorMessage="1" promptTitle="Chú ý" prompt="không có ngày tháng sinh (thêm vào để đủ dữ kiện)" sqref="D108"/>
    <dataValidation allowBlank="1" showInputMessage="1" showErrorMessage="1" prompt="khong dien so" sqref="A8:A108"/>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09"/>
  <sheetViews>
    <sheetView showZeros="0" zoomScaleNormal="100" workbookViewId="0">
      <pane xSplit="6" ySplit="7" topLeftCell="G8" activePane="bottomRight" state="frozen"/>
      <selection activeCell="F29" sqref="F29"/>
      <selection pane="topRight" activeCell="F29" sqref="F29"/>
      <selection pane="bottomLeft" activeCell="F29" sqref="F29"/>
      <selection pane="bottomRight" activeCell="AQ1" sqref="AQ1:AQ1048576"/>
    </sheetView>
  </sheetViews>
  <sheetFormatPr defaultColWidth="8.7109375" defaultRowHeight="15" x14ac:dyDescent="0.25"/>
  <cols>
    <col min="1" max="1" width="1.7109375" style="115" customWidth="1"/>
    <col min="2" max="2" width="2.85546875" style="115" customWidth="1"/>
    <col min="3" max="3" width="2.28515625" style="115" customWidth="1"/>
    <col min="4" max="4" width="4.7109375" style="115" customWidth="1"/>
    <col min="5" max="5" width="9.85546875" style="115" customWidth="1"/>
    <col min="6" max="6" width="16.140625" style="115" customWidth="1"/>
    <col min="7" max="7" width="2.5703125" style="115" customWidth="1"/>
    <col min="8" max="9" width="7.5703125" style="115" customWidth="1"/>
    <col min="10" max="11" width="4.140625" style="115" hidden="1" customWidth="1"/>
    <col min="12" max="12" width="5.7109375" style="115" customWidth="1"/>
    <col min="13" max="13" width="7.5703125" style="115" customWidth="1"/>
    <col min="14" max="14" width="6.140625" style="115" customWidth="1"/>
    <col min="15" max="15" width="6.5703125" style="115" customWidth="1"/>
    <col min="16" max="18" width="11.5703125" style="115" customWidth="1"/>
    <col min="19" max="19" width="8.7109375" style="115" customWidth="1"/>
    <col min="20" max="21" width="13.85546875" style="115" customWidth="1"/>
    <col min="22" max="22" width="11.85546875" style="115" customWidth="1"/>
    <col min="23" max="23" width="4.7109375" style="115" customWidth="1"/>
    <col min="24" max="24" width="6.140625" style="115" customWidth="1"/>
    <col min="25" max="25" width="6.7109375" style="115" customWidth="1"/>
    <col min="26" max="26" width="7.5703125" style="115" customWidth="1"/>
    <col min="27" max="27" width="6.28515625" style="115" customWidth="1"/>
    <col min="28" max="28" width="7" style="115" customWidth="1"/>
    <col min="29" max="29" width="10.42578125" style="115" customWidth="1"/>
    <col min="30" max="30" width="7.140625" style="115" customWidth="1"/>
    <col min="31" max="31" width="10.85546875" style="115" customWidth="1"/>
    <col min="32" max="33" width="9.140625" style="115" customWidth="1"/>
    <col min="34" max="34" width="8.42578125" style="115" customWidth="1"/>
    <col min="35" max="35" width="9.28515625" style="115" customWidth="1"/>
    <col min="36" max="36" width="8" style="115" customWidth="1"/>
    <col min="37" max="37" width="7.7109375" style="116" customWidth="1"/>
    <col min="38" max="38" width="7.28515625" style="116" customWidth="1"/>
    <col min="39" max="39" width="7.5703125" style="116" customWidth="1"/>
    <col min="40" max="42" width="7.28515625" style="116" customWidth="1"/>
    <col min="43" max="43" width="4.140625" style="116" hidden="1" customWidth="1"/>
    <col min="44" max="44" width="6" style="115" customWidth="1"/>
    <col min="45" max="45" width="7.28515625" style="115" customWidth="1"/>
    <col min="46" max="46" width="8.7109375" style="115"/>
    <col min="47" max="47" width="2.28515625" style="115" customWidth="1"/>
    <col min="48" max="16384" width="8.7109375" style="115"/>
  </cols>
  <sheetData>
    <row r="1" spans="1:49" ht="20.25" x14ac:dyDescent="0.3">
      <c r="F1" s="662">
        <f ca="1">NOW()</f>
        <v>43990.388564120367</v>
      </c>
      <c r="H1" s="664" t="str">
        <f ca="1">"tháng "&amp;MONTH(F1)</f>
        <v>tháng 6</v>
      </c>
      <c r="I1" s="664" t="str">
        <f ca="1">"năm "&amp;YEAR(F1)</f>
        <v>năm 2020</v>
      </c>
    </row>
    <row r="3" spans="1:49" ht="13.5" customHeight="1" x14ac:dyDescent="0.25">
      <c r="A3" s="218"/>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3"/>
    </row>
    <row r="4" spans="1:49" ht="11.25" customHeight="1" x14ac:dyDescent="0.25">
      <c r="A4" s="220"/>
      <c r="B4" s="714" t="s">
        <v>0</v>
      </c>
      <c r="C4" s="725"/>
      <c r="D4" s="715" t="s">
        <v>1</v>
      </c>
      <c r="E4" s="719" t="s">
        <v>580</v>
      </c>
      <c r="F4" s="716" t="s">
        <v>2</v>
      </c>
      <c r="G4" s="722" t="s">
        <v>3</v>
      </c>
      <c r="H4" s="715" t="s">
        <v>42</v>
      </c>
      <c r="I4" s="715"/>
      <c r="J4" s="728" t="s">
        <v>5</v>
      </c>
      <c r="K4" s="729"/>
      <c r="L4" s="715" t="s">
        <v>4</v>
      </c>
      <c r="M4" s="732" t="s">
        <v>574</v>
      </c>
      <c r="N4" s="718" t="s">
        <v>6</v>
      </c>
      <c r="O4" s="718" t="s">
        <v>7</v>
      </c>
      <c r="P4" s="718" t="s">
        <v>8</v>
      </c>
      <c r="Q4" s="718" t="s">
        <v>9</v>
      </c>
      <c r="R4" s="718" t="s">
        <v>10</v>
      </c>
      <c r="S4" s="707" t="s">
        <v>54</v>
      </c>
      <c r="T4" s="708"/>
      <c r="U4" s="708"/>
      <c r="V4" s="708"/>
      <c r="W4" s="708"/>
      <c r="X4" s="708"/>
      <c r="Y4" s="708"/>
      <c r="Z4" s="708"/>
      <c r="AA4" s="708"/>
      <c r="AB4" s="708"/>
      <c r="AC4" s="708"/>
      <c r="AD4" s="708"/>
      <c r="AE4" s="708"/>
      <c r="AF4" s="709"/>
      <c r="AG4" s="740" t="s">
        <v>965</v>
      </c>
      <c r="AH4" s="745" t="s">
        <v>130</v>
      </c>
      <c r="AI4" s="725" t="s">
        <v>349</v>
      </c>
      <c r="AJ4" s="714" t="s">
        <v>17</v>
      </c>
      <c r="AK4" s="714"/>
      <c r="AL4" s="707" t="s">
        <v>11</v>
      </c>
      <c r="AM4" s="708"/>
      <c r="AN4" s="708"/>
      <c r="AO4" s="708"/>
      <c r="AP4" s="708"/>
      <c r="AQ4" s="708"/>
      <c r="AR4" s="708"/>
      <c r="AS4" s="709"/>
      <c r="AT4" s="718" t="s">
        <v>19</v>
      </c>
      <c r="AU4" s="211"/>
    </row>
    <row r="5" spans="1:49" ht="18" customHeight="1" x14ac:dyDescent="0.25">
      <c r="A5" s="220"/>
      <c r="B5" s="714"/>
      <c r="C5" s="726"/>
      <c r="D5" s="715"/>
      <c r="E5" s="720"/>
      <c r="F5" s="717"/>
      <c r="G5" s="723"/>
      <c r="H5" s="715"/>
      <c r="I5" s="715"/>
      <c r="J5" s="730"/>
      <c r="K5" s="731"/>
      <c r="L5" s="715"/>
      <c r="M5" s="732"/>
      <c r="N5" s="718"/>
      <c r="O5" s="718"/>
      <c r="P5" s="718"/>
      <c r="Q5" s="718"/>
      <c r="R5" s="718"/>
      <c r="S5" s="717" t="s">
        <v>12</v>
      </c>
      <c r="T5" s="710" t="s">
        <v>55</v>
      </c>
      <c r="U5" s="743" t="s">
        <v>56</v>
      </c>
      <c r="V5" s="743" t="s">
        <v>153</v>
      </c>
      <c r="W5" s="740" t="s">
        <v>54</v>
      </c>
      <c r="X5" s="740" t="s">
        <v>941</v>
      </c>
      <c r="Y5" s="740" t="s">
        <v>942</v>
      </c>
      <c r="Z5" s="710" t="s">
        <v>14</v>
      </c>
      <c r="AA5" s="712" t="s">
        <v>13</v>
      </c>
      <c r="AB5" s="710" t="s">
        <v>18</v>
      </c>
      <c r="AC5" s="710" t="s">
        <v>162</v>
      </c>
      <c r="AD5" s="710" t="s">
        <v>161</v>
      </c>
      <c r="AE5" s="710" t="s">
        <v>164</v>
      </c>
      <c r="AF5" s="745" t="s">
        <v>165</v>
      </c>
      <c r="AG5" s="712"/>
      <c r="AH5" s="710"/>
      <c r="AI5" s="726"/>
      <c r="AJ5" s="714" t="s">
        <v>26</v>
      </c>
      <c r="AK5" s="742" t="s">
        <v>27</v>
      </c>
      <c r="AL5" s="736" t="s">
        <v>20</v>
      </c>
      <c r="AM5" s="732" t="s">
        <v>21</v>
      </c>
      <c r="AN5" s="737" t="s">
        <v>346</v>
      </c>
      <c r="AO5" s="733" t="s">
        <v>23</v>
      </c>
      <c r="AP5" s="734"/>
      <c r="AQ5" s="735"/>
      <c r="AR5" s="738" t="s">
        <v>24</v>
      </c>
      <c r="AS5" s="739" t="s">
        <v>25</v>
      </c>
      <c r="AT5" s="718"/>
      <c r="AU5" s="212" t="s">
        <v>573</v>
      </c>
    </row>
    <row r="6" spans="1:49" ht="35.25" customHeight="1" x14ac:dyDescent="0.25">
      <c r="A6" s="220"/>
      <c r="B6" s="714"/>
      <c r="C6" s="727"/>
      <c r="D6" s="715"/>
      <c r="E6" s="721"/>
      <c r="F6" s="717"/>
      <c r="G6" s="724"/>
      <c r="H6" s="240" t="s">
        <v>53</v>
      </c>
      <c r="I6" s="240" t="s">
        <v>935</v>
      </c>
      <c r="J6" s="237" t="s">
        <v>939</v>
      </c>
      <c r="K6" s="236" t="s">
        <v>935</v>
      </c>
      <c r="L6" s="716"/>
      <c r="M6" s="732"/>
      <c r="N6" s="718"/>
      <c r="O6" s="718"/>
      <c r="P6" s="718"/>
      <c r="Q6" s="718"/>
      <c r="R6" s="718"/>
      <c r="S6" s="741"/>
      <c r="T6" s="711"/>
      <c r="U6" s="744"/>
      <c r="V6" s="744"/>
      <c r="W6" s="713"/>
      <c r="X6" s="713"/>
      <c r="Y6" s="713"/>
      <c r="Z6" s="711"/>
      <c r="AA6" s="713"/>
      <c r="AB6" s="711"/>
      <c r="AC6" s="711"/>
      <c r="AD6" s="711"/>
      <c r="AE6" s="711"/>
      <c r="AF6" s="711"/>
      <c r="AG6" s="713"/>
      <c r="AH6" s="711"/>
      <c r="AI6" s="727"/>
      <c r="AJ6" s="714"/>
      <c r="AK6" s="742"/>
      <c r="AL6" s="736"/>
      <c r="AM6" s="732"/>
      <c r="AN6" s="737"/>
      <c r="AO6" s="239" t="s">
        <v>11</v>
      </c>
      <c r="AP6" s="238" t="s">
        <v>28</v>
      </c>
      <c r="AQ6" s="238"/>
      <c r="AR6" s="738"/>
      <c r="AS6" s="739"/>
      <c r="AT6" s="718"/>
      <c r="AU6" s="212"/>
    </row>
    <row r="7" spans="1:49" ht="10.5" customHeight="1" x14ac:dyDescent="0.25">
      <c r="A7" s="220"/>
      <c r="B7" s="214" t="s">
        <v>531</v>
      </c>
      <c r="C7" s="214" t="s">
        <v>532</v>
      </c>
      <c r="D7" s="215" t="s">
        <v>347</v>
      </c>
      <c r="E7" s="215" t="s">
        <v>632</v>
      </c>
      <c r="F7" s="216" t="s">
        <v>631</v>
      </c>
      <c r="G7" s="216" t="s">
        <v>595</v>
      </c>
      <c r="H7" s="216" t="s">
        <v>596</v>
      </c>
      <c r="I7" s="216"/>
      <c r="J7" s="216" t="s">
        <v>597</v>
      </c>
      <c r="K7" s="216"/>
      <c r="L7" s="216" t="s">
        <v>598</v>
      </c>
      <c r="M7" s="216" t="s">
        <v>599</v>
      </c>
      <c r="N7" s="216" t="s">
        <v>630</v>
      </c>
      <c r="O7" s="215" t="s">
        <v>600</v>
      </c>
      <c r="P7" s="215" t="s">
        <v>601</v>
      </c>
      <c r="Q7" s="215" t="s">
        <v>602</v>
      </c>
      <c r="R7" s="215" t="s">
        <v>603</v>
      </c>
      <c r="S7" s="215" t="s">
        <v>604</v>
      </c>
      <c r="T7" s="215" t="s">
        <v>605</v>
      </c>
      <c r="U7" s="215" t="s">
        <v>606</v>
      </c>
      <c r="V7" s="215" t="s">
        <v>607</v>
      </c>
      <c r="W7" s="215" t="s">
        <v>608</v>
      </c>
      <c r="X7" s="215" t="s">
        <v>609</v>
      </c>
      <c r="Y7" s="215" t="s">
        <v>610</v>
      </c>
      <c r="Z7" s="215" t="s">
        <v>471</v>
      </c>
      <c r="AA7" s="215" t="s">
        <v>611</v>
      </c>
      <c r="AB7" s="215" t="s">
        <v>612</v>
      </c>
      <c r="AC7" s="215" t="s">
        <v>613</v>
      </c>
      <c r="AD7" s="215" t="s">
        <v>614</v>
      </c>
      <c r="AE7" s="215" t="s">
        <v>615</v>
      </c>
      <c r="AF7" s="215" t="s">
        <v>616</v>
      </c>
      <c r="AG7" s="215"/>
      <c r="AH7" s="215" t="s">
        <v>617</v>
      </c>
      <c r="AI7" s="215" t="s">
        <v>618</v>
      </c>
      <c r="AJ7" s="215" t="s">
        <v>619</v>
      </c>
      <c r="AK7" s="217" t="s">
        <v>620</v>
      </c>
      <c r="AL7" s="217" t="s">
        <v>621</v>
      </c>
      <c r="AM7" s="217" t="s">
        <v>622</v>
      </c>
      <c r="AN7" s="217" t="s">
        <v>623</v>
      </c>
      <c r="AO7" s="217" t="s">
        <v>624</v>
      </c>
      <c r="AP7" s="217" t="s">
        <v>625</v>
      </c>
      <c r="AQ7" s="217" t="s">
        <v>626</v>
      </c>
      <c r="AR7" s="215" t="s">
        <v>627</v>
      </c>
      <c r="AS7" s="215" t="s">
        <v>628</v>
      </c>
      <c r="AT7" s="215" t="s">
        <v>629</v>
      </c>
      <c r="AU7" s="212"/>
    </row>
    <row r="8" spans="1:49" s="118" customFormat="1" x14ac:dyDescent="0.25">
      <c r="A8" s="220"/>
      <c r="B8" s="119">
        <f>IF(F8&lt;&gt;0,1)</f>
        <v>1</v>
      </c>
      <c r="C8" s="120">
        <f>IF(F8=0,0,1)</f>
        <v>1</v>
      </c>
      <c r="D8" s="441" t="str">
        <f>IF(NSTonghop!$E8&lt;&gt;0,0,NSTonghop!D8)</f>
        <v>x</v>
      </c>
      <c r="E8" s="119">
        <f>IF(NSTonghop!E8&lt;&gt;0,0,0)</f>
        <v>0</v>
      </c>
      <c r="F8" s="122" t="str">
        <f>IF(NSTonghop!$E8&lt;&gt;0,0,NSTonghop!F8)</f>
        <v>Lê Thị Nhung</v>
      </c>
      <c r="G8" s="122" t="str">
        <f>IF(NSTonghop!$E8&lt;&gt;0,0,NSTonghop!G8)</f>
        <v>x</v>
      </c>
      <c r="H8" s="122">
        <f>IF(NSTonghop!$E8&lt;&gt;0,0,NSTonghop!H8)</f>
        <v>0</v>
      </c>
      <c r="I8" s="122" t="str">
        <f>IF(NSTonghop!$E8&lt;&gt;0,0,NSTonghop!I8)</f>
        <v>25/12/1983</v>
      </c>
      <c r="J8" s="122">
        <f>IF(NSTonghop!$E8&lt;&gt;0,0,NSTonghop!J8)</f>
        <v>0</v>
      </c>
      <c r="K8" s="122">
        <f>IF(NSTonghop!$E8&lt;&gt;0,0,NSTonghop!K8)</f>
        <v>1983</v>
      </c>
      <c r="L8" s="122" t="str">
        <f>IF(NSTonghop!$E8&lt;&gt;0,0,NSTonghop!L8)</f>
        <v>NV</v>
      </c>
      <c r="M8" s="122">
        <f>IF(NSTonghop!$E8&lt;&gt;0,0,NSTonghop!M8)</f>
        <v>0</v>
      </c>
      <c r="N8" s="122" t="str">
        <f>IF(NSTonghop!$E8&lt;&gt;0,0,NSTonghop!N8)</f>
        <v>Phật</v>
      </c>
      <c r="O8" s="122" t="str">
        <f>IF(NSTonghop!$E8&lt;&gt;0,0,NSTonghop!O8)</f>
        <v>Bần nông</v>
      </c>
      <c r="P8" s="122" t="str">
        <f>IF(NSTonghop!$E8&lt;&gt;0,0,NSTonghop!P8)</f>
        <v>Ngọc Hiển-Cà Mau</v>
      </c>
      <c r="Q8" s="122" t="str">
        <f>IF(NSTonghop!$E8&lt;&gt;0,0,NSTonghop!Q8)</f>
        <v>Tiên Phong-Duy Tiên-Hà Nam</v>
      </c>
      <c r="R8" s="122" t="str">
        <f>IF(NSTonghop!$E8&lt;&gt;0,0,NSTonghop!R8)</f>
        <v>282/0 Vĩnh Phú-VTT</v>
      </c>
      <c r="S8" s="122" t="str">
        <f>IF(NSTonghop!$E8&lt;&gt;0,0,NSTonghop!S8)</f>
        <v>PTTH/03/TB</v>
      </c>
      <c r="T8" s="122" t="str">
        <f>IF(NSTonghop!$E8&lt;&gt;0,0,NSTonghop!T8)</f>
        <v>TrC/KTNS/05/Giỏi</v>
      </c>
      <c r="U8" s="122" t="str">
        <f>IF(NSTonghop!$E8&lt;&gt;0,0,NSTonghop!U8)</f>
        <v>ĐHTX/QTKD/12/TBK</v>
      </c>
      <c r="V8" s="122">
        <f>IF(NSTonghop!$E8&lt;&gt;0,0,NSTonghop!V8)</f>
        <v>0</v>
      </c>
      <c r="W8" s="122" t="str">
        <f>IF(NSTonghop!$E8&lt;&gt;0,0,NSTonghop!W8)</f>
        <v>ĐHTX</v>
      </c>
      <c r="X8" s="122">
        <f>IF(NSTonghop!$E8&lt;&gt;0,0,NSTonghop!X8)</f>
        <v>0</v>
      </c>
      <c r="Y8" s="122">
        <f>IF(NSTonghop!$E8&lt;&gt;0,0,NSTonghop!Y8)</f>
        <v>0</v>
      </c>
      <c r="Z8" s="122">
        <f>IF(NSTonghop!$E8&lt;&gt;0,0,NSTonghop!Z8)</f>
        <v>0</v>
      </c>
      <c r="AA8" s="122">
        <f>IF(NSTonghop!$E8&lt;&gt;0,0,NSTonghop!AA8)</f>
        <v>0</v>
      </c>
      <c r="AB8" s="122" t="str">
        <f>IF(NSTonghop!$E8&lt;&gt;0,0,NSTonghop!AB8)</f>
        <v>A/04/Giỏi</v>
      </c>
      <c r="AC8" s="122" t="str">
        <f>IF(NSTonghop!$E8&lt;&gt;0,0,NSTonghop!AC8)</f>
        <v>B/Anh/11/TB</v>
      </c>
      <c r="AD8" s="122">
        <f>IF(NSTonghop!$E8&lt;&gt;0,0,NSTonghop!AD8)</f>
        <v>0</v>
      </c>
      <c r="AE8" s="122">
        <f>IF(NSTonghop!$E8&lt;&gt;0,0,NSTonghop!AE8)</f>
        <v>0</v>
      </c>
      <c r="AF8" s="122">
        <f>IF(NSTonghop!$E8&lt;&gt;0,0,NSTonghop!AF8)</f>
        <v>0</v>
      </c>
      <c r="AG8" s="122" t="str">
        <f>IF(NSTonghop!$E8&lt;&gt;0,0,NSTonghop!AG8)</f>
        <v>06.031</v>
      </c>
      <c r="AH8" s="122" t="str">
        <f>IF(NSTonghop!$E8&lt;&gt;0,0,NSTonghop!AH8)</f>
        <v>CN/18/Giỏi</v>
      </c>
      <c r="AI8" s="122">
        <f>IF(NSTonghop!$E8&lt;&gt;0,0,NSTonghop!AI8)</f>
        <v>5006000430</v>
      </c>
      <c r="AJ8" s="122">
        <f>IF(NSTonghop!$E8&lt;&gt;0,0,NSTonghop!AJ8)</f>
        <v>351760595</v>
      </c>
      <c r="AK8" s="122" t="str">
        <f>IF(NSTonghop!$E8&lt;&gt;0,0,NSTonghop!AK8)</f>
        <v>24/03/2003</v>
      </c>
      <c r="AL8" s="122" t="str">
        <f>IF(NSTonghop!$E8&lt;&gt;0,0,NSTonghop!AL8)</f>
        <v>01/10/2005</v>
      </c>
      <c r="AM8" s="122" t="str">
        <f>IF(NSTonghop!$E8&lt;&gt;0,0,NSTonghop!AM8)</f>
        <v>22/02/2017</v>
      </c>
      <c r="AN8" s="122" t="str">
        <f>IF(NSTonghop!$E8&lt;&gt;0,0,NSTonghop!AN8)</f>
        <v>01/04/2006</v>
      </c>
      <c r="AO8" s="122" t="str">
        <f>IF(NSTonghop!$E8&lt;&gt;0,0,NSTonghop!AO8)</f>
        <v>01/07/2008</v>
      </c>
      <c r="AP8" s="122" t="str">
        <f>IF(NSTonghop!$E8&lt;&gt;0,0,NSTonghop!AP8)</f>
        <v>Chưa thẻ</v>
      </c>
      <c r="AQ8" s="122">
        <f>IF(NSTonghop!$E8&lt;&gt;0,0,NSTonghop!AQ8)</f>
        <v>2008</v>
      </c>
      <c r="AR8" s="122">
        <f>IF(NSTonghop!$E8&lt;&gt;0,0,NSTonghop!AR8)</f>
        <v>0</v>
      </c>
      <c r="AS8" s="122">
        <f>IF(NSTonghop!$E8&lt;&gt;0,0,NSTonghop!AS8)</f>
        <v>0</v>
      </c>
      <c r="AT8" s="122" t="str">
        <f>IF(NSTonghop!$E8&lt;&gt;0,0,NSTonghop!AT8)</f>
        <v>0949010871</v>
      </c>
      <c r="AU8" s="212"/>
      <c r="AV8" s="117"/>
      <c r="AW8" s="117"/>
    </row>
    <row r="9" spans="1:49" s="118" customFormat="1" x14ac:dyDescent="0.25">
      <c r="A9" s="220"/>
      <c r="B9" s="128">
        <f>IF(F9&lt;&gt;0,MAX($B$8:B8)+1,"")</f>
        <v>2</v>
      </c>
      <c r="C9" s="132">
        <f>IF(F9=0,0,MAX($C$8:C8)+1)</f>
        <v>2</v>
      </c>
      <c r="D9" s="441">
        <f>IF(NSTonghop!$E9&lt;&gt;0,0,NSTonghop!D9)</f>
        <v>1182</v>
      </c>
      <c r="E9" s="128">
        <f>IF(NSTonghop!E9&lt;&gt;0,0,0)</f>
        <v>0</v>
      </c>
      <c r="F9" s="128" t="str">
        <f>IF(NSTonghop!$E9&lt;&gt;0,0,NSTonghop!F9)</f>
        <v>Lê Thị Bích Thy</v>
      </c>
      <c r="G9" s="128" t="str">
        <f>IF(NSTonghop!$E9&lt;&gt;0,0,NSTonghop!G9)</f>
        <v>x</v>
      </c>
      <c r="H9" s="128">
        <f>IF(NSTonghop!$E9&lt;&gt;0,0,NSTonghop!H9)</f>
        <v>0</v>
      </c>
      <c r="I9" s="128" t="str">
        <f>IF(NSTonghop!$E9&lt;&gt;0,0,NSTonghop!I9)</f>
        <v>04/07/1967</v>
      </c>
      <c r="J9" s="128">
        <f>IF(NSTonghop!$E9&lt;&gt;0,0,NSTonghop!J9)</f>
        <v>0</v>
      </c>
      <c r="K9" s="128">
        <f>IF(NSTonghop!$E9&lt;&gt;0,0,NSTonghop!K9)</f>
        <v>1967</v>
      </c>
      <c r="L9" s="128" t="str">
        <f>IF(NSTonghop!$E9&lt;&gt;0,0,NSTonghop!L9)</f>
        <v>NV</v>
      </c>
      <c r="M9" s="128">
        <f>IF(NSTonghop!$E9&lt;&gt;0,0,NSTonghop!M9)</f>
        <v>0</v>
      </c>
      <c r="N9" s="128" t="str">
        <f>IF(NSTonghop!$E9&lt;&gt;0,0,NSTonghop!N9)</f>
        <v>Phật</v>
      </c>
      <c r="O9" s="128" t="str">
        <f>IF(NSTonghop!$E9&lt;&gt;0,0,NSTonghop!O9)</f>
        <v>Nông dân</v>
      </c>
      <c r="P9" s="128" t="str">
        <f>IF(NSTonghop!$E9&lt;&gt;0,0,NSTonghop!P9)</f>
        <v>Vĩnh Tế-An Giang</v>
      </c>
      <c r="Q9" s="128" t="str">
        <f>IF(NSTonghop!$E9&lt;&gt;0,0,NSTonghop!Q9)</f>
        <v>Cái Dầu-Châu Phú-AG</v>
      </c>
      <c r="R9" s="128" t="str">
        <f>IF(NSTonghop!$E9&lt;&gt;0,0,NSTonghop!R9)</f>
        <v>3,Vĩnh Phúc, Cái Dầu</v>
      </c>
      <c r="S9" s="128" t="str">
        <f>IF(NSTonghop!$E9&lt;&gt;0,0,NSTonghop!S9)</f>
        <v>PTTH/86/TB</v>
      </c>
      <c r="T9" s="128" t="str">
        <f>IF(NSTonghop!$E9&lt;&gt;0,0,NSTonghop!T9)</f>
        <v>TrC KTNN/01/TB</v>
      </c>
      <c r="U9" s="128" t="str">
        <f>IF(NSTonghop!$E9&lt;&gt;0,0,NSTonghop!U9)</f>
        <v>TCTC/KTDN/08/Khá</v>
      </c>
      <c r="V9" s="128">
        <f>IF(NSTonghop!$E9&lt;&gt;0,0,NSTonghop!V9)</f>
        <v>0</v>
      </c>
      <c r="W9" s="128" t="str">
        <f>IF(NSTonghop!$E9&lt;&gt;0,0,NSTonghop!W9)</f>
        <v>TCTC</v>
      </c>
      <c r="X9" s="128">
        <f>IF(NSTonghop!$E9&lt;&gt;0,0,NSTonghop!X9)</f>
        <v>0</v>
      </c>
      <c r="Y9" s="128">
        <f>IF(NSTonghop!$E9&lt;&gt;0,0,NSTonghop!Y9)</f>
        <v>0</v>
      </c>
      <c r="Z9" s="128">
        <f>IF(NSTonghop!$E9&lt;&gt;0,0,NSTonghop!Z9)</f>
        <v>0</v>
      </c>
      <c r="AA9" s="128">
        <f>IF(NSTonghop!$E9&lt;&gt;0,0,NSTonghop!AA9)</f>
        <v>0</v>
      </c>
      <c r="AB9" s="128" t="str">
        <f>IF(NSTonghop!$E9&lt;&gt;0,0,NSTonghop!AB9)</f>
        <v>A/06/Giỏi</v>
      </c>
      <c r="AC9" s="128">
        <f>IF(NSTonghop!$E9&lt;&gt;0,0,NSTonghop!AC9)</f>
        <v>0</v>
      </c>
      <c r="AD9" s="128">
        <f>IF(NSTonghop!$E9&lt;&gt;0,0,NSTonghop!AD9)</f>
        <v>0</v>
      </c>
      <c r="AE9" s="128">
        <f>IF(NSTonghop!$E9&lt;&gt;0,0,NSTonghop!AE9)</f>
        <v>0</v>
      </c>
      <c r="AF9" s="128">
        <f>IF(NSTonghop!$E9&lt;&gt;0,0,NSTonghop!AF9)</f>
        <v>0</v>
      </c>
      <c r="AG9" s="128" t="str">
        <f>IF(NSTonghop!$E9&lt;&gt;0,0,NSTonghop!AG9)</f>
        <v>06.035</v>
      </c>
      <c r="AH9" s="128" t="str">
        <f>IF(NSTonghop!$E9&lt;&gt;0,0,NSTonghop!AH9)</f>
        <v>CN/15/Khá</v>
      </c>
      <c r="AI9" s="128">
        <f>IF(NSTonghop!$E9&lt;&gt;0,0,NSTonghop!AI9)</f>
        <v>5096017247</v>
      </c>
      <c r="AJ9" s="128">
        <f>IF(NSTonghop!$E9&lt;&gt;0,0,NSTonghop!AJ9)</f>
        <v>350774540</v>
      </c>
      <c r="AK9" s="128" t="str">
        <f>IF(NSTonghop!$E9&lt;&gt;0,0,NSTonghop!AK9)</f>
        <v>10/04/2015</v>
      </c>
      <c r="AL9" s="128" t="str">
        <f>IF(NSTonghop!$E9&lt;&gt;0,0,NSTonghop!AL9)</f>
        <v>16/11/1990</v>
      </c>
      <c r="AM9" s="128" t="str">
        <f>IF(NSTonghop!$E9&lt;&gt;0,0,NSTonghop!AM9)</f>
        <v>16/11/1990</v>
      </c>
      <c r="AN9" s="128" t="str">
        <f>IF(NSTonghop!$E9&lt;&gt;0,0,NSTonghop!AN9)</f>
        <v>01/08/1996</v>
      </c>
      <c r="AO9" s="128" t="str">
        <f>IF(NSTonghop!$E9&lt;&gt;0,0,NSTonghop!AO9)</f>
        <v>05/10/2005</v>
      </c>
      <c r="AP9" s="128" t="str">
        <f>IF(NSTonghop!$E9&lt;&gt;0,0,NSTonghop!AP9)</f>
        <v>31.031 055</v>
      </c>
      <c r="AQ9" s="128">
        <f>IF(NSTonghop!$E9&lt;&gt;0,0,NSTonghop!AQ9)</f>
        <v>2005</v>
      </c>
      <c r="AR9" s="128">
        <f>IF(NSTonghop!$E9&lt;&gt;0,0,NSTonghop!AR9)</f>
        <v>0</v>
      </c>
      <c r="AS9" s="128">
        <f>IF(NSTonghop!$E9&lt;&gt;0,0,NSTonghop!AS9)</f>
        <v>0</v>
      </c>
      <c r="AT9" s="128" t="str">
        <f>IF(NSTonghop!$E9&lt;&gt;0,0,NSTonghop!AT9)</f>
        <v>0939208137</v>
      </c>
      <c r="AU9" s="212"/>
    </row>
    <row r="10" spans="1:49" s="118" customFormat="1" x14ac:dyDescent="0.25">
      <c r="A10" s="220"/>
      <c r="B10" s="128">
        <f>IF(F10&lt;&gt;0,MAX($B$8:B9)+1,"")</f>
        <v>3</v>
      </c>
      <c r="C10" s="132">
        <f>IF(F10=0,0,MAX($C$8:C9)+1)</f>
        <v>3</v>
      </c>
      <c r="D10" s="441">
        <f>IF(NSTonghop!$E10&lt;&gt;0,0,NSTonghop!D10)</f>
        <v>1239</v>
      </c>
      <c r="E10" s="128">
        <f>IF(NSTonghop!E10&lt;&gt;0,0,0)</f>
        <v>0</v>
      </c>
      <c r="F10" s="128" t="str">
        <f>IF(NSTonghop!$E10&lt;&gt;0,0,NSTonghop!F10)</f>
        <v>Phạm Thị Ngọc Thủy</v>
      </c>
      <c r="G10" s="128" t="str">
        <f>IF(NSTonghop!$E10&lt;&gt;0,0,NSTonghop!G10)</f>
        <v>x</v>
      </c>
      <c r="H10" s="128">
        <f>IF(NSTonghop!$E10&lt;&gt;0,0,NSTonghop!H10)</f>
        <v>0</v>
      </c>
      <c r="I10" s="128" t="str">
        <f>IF(NSTonghop!$E10&lt;&gt;0,0,NSTonghop!I10)</f>
        <v>16/10/1976</v>
      </c>
      <c r="J10" s="128">
        <f>IF(NSTonghop!$E10&lt;&gt;0,0,NSTonghop!J10)</f>
        <v>0</v>
      </c>
      <c r="K10" s="128">
        <f>IF(NSTonghop!$E10&lt;&gt;0,0,NSTonghop!K10)</f>
        <v>1976</v>
      </c>
      <c r="L10" s="128" t="str">
        <f>IF(NSTonghop!$E10&lt;&gt;0,0,NSTonghop!L10)</f>
        <v>NV</v>
      </c>
      <c r="M10" s="128">
        <f>IF(NSTonghop!$E10&lt;&gt;0,0,NSTonghop!M10)</f>
        <v>0</v>
      </c>
      <c r="N10" s="128" t="str">
        <f>IF(NSTonghop!$E10&lt;&gt;0,0,NSTonghop!N10)</f>
        <v>x</v>
      </c>
      <c r="O10" s="128" t="str">
        <f>IF(NSTonghop!$E10&lt;&gt;0,0,NSTonghop!O10)</f>
        <v>Viên chức</v>
      </c>
      <c r="P10" s="128" t="str">
        <f>IF(NSTonghop!$E10&lt;&gt;0,0,NSTonghop!P10)</f>
        <v>Vĩnh Thạnh Trung-An Giang</v>
      </c>
      <c r="Q10" s="128" t="str">
        <f>IF(NSTonghop!$E10&lt;&gt;0,0,NSTonghop!Q10)</f>
        <v>Vĩnh Thạnh Trung-Châu Phú</v>
      </c>
      <c r="R10" s="128" t="str">
        <f>IF(NSTonghop!$E10&lt;&gt;0,0,NSTonghop!R10)</f>
        <v>673/19 Vĩnh Hưng-VTT</v>
      </c>
      <c r="S10" s="128" t="str">
        <f>IF(NSTonghop!$E10&lt;&gt;0,0,NSTonghop!S10)</f>
        <v>PTTH/94/TB</v>
      </c>
      <c r="T10" s="128" t="str">
        <f>IF(NSTonghop!$E10&lt;&gt;0,0,NSTonghop!T10)</f>
        <v>TCTC Tviện/00/Khá</v>
      </c>
      <c r="U10" s="128">
        <f>IF(NSTonghop!$E10&lt;&gt;0,0,NSTonghop!U10)</f>
        <v>0</v>
      </c>
      <c r="V10" s="128">
        <f>IF(NSTonghop!$E10&lt;&gt;0,0,NSTonghop!V10)</f>
        <v>0</v>
      </c>
      <c r="W10" s="128" t="str">
        <f>IF(NSTonghop!$E10&lt;&gt;0,0,NSTonghop!W10)</f>
        <v>TCTC</v>
      </c>
      <c r="X10" s="128">
        <f>IF(NSTonghop!$E10&lt;&gt;0,0,NSTonghop!X10)</f>
        <v>0</v>
      </c>
      <c r="Y10" s="128">
        <f>IF(NSTonghop!$E10&lt;&gt;0,0,NSTonghop!Y10)</f>
        <v>0</v>
      </c>
      <c r="Z10" s="128">
        <f>IF(NSTonghop!$E10&lt;&gt;0,0,NSTonghop!Z10)</f>
        <v>0</v>
      </c>
      <c r="AA10" s="128">
        <f>IF(NSTonghop!$E10&lt;&gt;0,0,NSTonghop!AA10)</f>
        <v>0</v>
      </c>
      <c r="AB10" s="128">
        <f>IF(NSTonghop!$E10&lt;&gt;0,0,NSTonghop!AB10)</f>
        <v>0</v>
      </c>
      <c r="AC10" s="128">
        <f>IF(NSTonghop!$E10&lt;&gt;0,0,NSTonghop!AC10)</f>
        <v>0</v>
      </c>
      <c r="AD10" s="128">
        <f>IF(NSTonghop!$E10&lt;&gt;0,0,NSTonghop!AD10)</f>
        <v>0</v>
      </c>
      <c r="AE10" s="128">
        <f>IF(NSTonghop!$E10&lt;&gt;0,0,NSTonghop!AE10)</f>
        <v>0</v>
      </c>
      <c r="AF10" s="128">
        <f>IF(NSTonghop!$E10&lt;&gt;0,0,NSTonghop!AF10)</f>
        <v>0</v>
      </c>
      <c r="AG10" s="128" t="str">
        <f>IF(NSTonghop!$E10&lt;&gt;0,0,NSTonghop!AG10)</f>
        <v>V.10.02.07</v>
      </c>
      <c r="AH10" s="128" t="str">
        <f>IF(NSTonghop!$E10&lt;&gt;0,0,NSTonghop!AH10)</f>
        <v>CN/15/Giỏi</v>
      </c>
      <c r="AI10" s="128">
        <f>IF(NSTonghop!$E10&lt;&gt;0,0,NSTonghop!AI10)</f>
        <v>5096017206</v>
      </c>
      <c r="AJ10" s="128">
        <f>IF(NSTonghop!$E10&lt;&gt;0,0,NSTonghop!AJ10)</f>
        <v>351122256</v>
      </c>
      <c r="AK10" s="128" t="str">
        <f>IF(NSTonghop!$E10&lt;&gt;0,0,NSTonghop!AK10)</f>
        <v>10/03/2011</v>
      </c>
      <c r="AL10" s="128" t="str">
        <f>IF(NSTonghop!$E10&lt;&gt;0,0,NSTonghop!AL10)</f>
        <v>01/06/1996</v>
      </c>
      <c r="AM10" s="128" t="str">
        <f>IF(NSTonghop!$E10&lt;&gt;0,0,NSTonghop!AM10)</f>
        <v>01/06/1996</v>
      </c>
      <c r="AN10" s="128" t="str">
        <f>IF(NSTonghop!$E10&lt;&gt;0,0,NSTonghop!AN10)</f>
        <v>không</v>
      </c>
      <c r="AO10" s="128">
        <f>IF(NSTonghop!$E10&lt;&gt;0,0,NSTonghop!AO10)</f>
        <v>0</v>
      </c>
      <c r="AP10" s="128">
        <f>IF(NSTonghop!$E10&lt;&gt;0,0,NSTonghop!AP10)</f>
        <v>0</v>
      </c>
      <c r="AQ10" s="128" t="str">
        <f>IF(NSTonghop!$E10&lt;&gt;0,0,NSTonghop!AQ10)</f>
        <v/>
      </c>
      <c r="AR10" s="128">
        <f>IF(NSTonghop!$E10&lt;&gt;0,0,NSTonghop!AR10)</f>
        <v>0</v>
      </c>
      <c r="AS10" s="128">
        <f>IF(NSTonghop!$E10&lt;&gt;0,0,NSTonghop!AS10)</f>
        <v>0</v>
      </c>
      <c r="AT10" s="128" t="str">
        <f>IF(NSTonghop!$E10&lt;&gt;0,0,NSTonghop!AT10)</f>
        <v>0984493556</v>
      </c>
      <c r="AU10" s="212"/>
    </row>
    <row r="11" spans="1:49" s="118" customFormat="1" x14ac:dyDescent="0.25">
      <c r="A11" s="220"/>
      <c r="B11" s="128" t="str">
        <f>IF(F11&lt;&gt;0,MAX($B$8:B10)+1,"")</f>
        <v/>
      </c>
      <c r="C11" s="132">
        <f>IF(F11=0,0,MAX($C$8:C10)+1)</f>
        <v>0</v>
      </c>
      <c r="D11" s="133">
        <f>IF(NSTonghop!$E11&lt;&gt;0,0,NSTonghop!D11)</f>
        <v>0</v>
      </c>
      <c r="E11" s="128">
        <f>IF(NSTonghop!E11&lt;&gt;0,0,0)</f>
        <v>0</v>
      </c>
      <c r="F11" s="128">
        <f>IF(NSTonghop!$E11&lt;&gt;0,0,NSTonghop!F11)</f>
        <v>0</v>
      </c>
      <c r="G11" s="128">
        <f>IF(NSTonghop!$E11&lt;&gt;0,0,NSTonghop!G11)</f>
        <v>0</v>
      </c>
      <c r="H11" s="128">
        <f>IF(NSTonghop!$E11&lt;&gt;0,0,NSTonghop!H11)</f>
        <v>0</v>
      </c>
      <c r="I11" s="128">
        <f>IF(NSTonghop!$E11&lt;&gt;0,0,NSTonghop!I11)</f>
        <v>0</v>
      </c>
      <c r="J11" s="128">
        <f>IF(NSTonghop!$E11&lt;&gt;0,0,NSTonghop!J11)</f>
        <v>0</v>
      </c>
      <c r="K11" s="128">
        <f>IF(NSTonghop!$E11&lt;&gt;0,0,NSTonghop!K11)</f>
        <v>0</v>
      </c>
      <c r="L11" s="128">
        <f>IF(NSTonghop!$E11&lt;&gt;0,0,NSTonghop!L11)</f>
        <v>0</v>
      </c>
      <c r="M11" s="128">
        <f>IF(NSTonghop!$E11&lt;&gt;0,0,NSTonghop!M11)</f>
        <v>0</v>
      </c>
      <c r="N11" s="128">
        <f>IF(NSTonghop!$E11&lt;&gt;0,0,NSTonghop!N11)</f>
        <v>0</v>
      </c>
      <c r="O11" s="128">
        <f>IF(NSTonghop!$E11&lt;&gt;0,0,NSTonghop!O11)</f>
        <v>0</v>
      </c>
      <c r="P11" s="128">
        <f>IF(NSTonghop!$E11&lt;&gt;0,0,NSTonghop!P11)</f>
        <v>0</v>
      </c>
      <c r="Q11" s="128">
        <f>IF(NSTonghop!$E11&lt;&gt;0,0,NSTonghop!Q11)</f>
        <v>0</v>
      </c>
      <c r="R11" s="128">
        <f>IF(NSTonghop!$E11&lt;&gt;0,0,NSTonghop!R11)</f>
        <v>0</v>
      </c>
      <c r="S11" s="128">
        <f>IF(NSTonghop!$E11&lt;&gt;0,0,NSTonghop!S11)</f>
        <v>0</v>
      </c>
      <c r="T11" s="128">
        <f>IF(NSTonghop!$E11&lt;&gt;0,0,NSTonghop!T11)</f>
        <v>0</v>
      </c>
      <c r="U11" s="128">
        <f>IF(NSTonghop!$E11&lt;&gt;0,0,NSTonghop!U11)</f>
        <v>0</v>
      </c>
      <c r="V11" s="128">
        <f>IF(NSTonghop!$E11&lt;&gt;0,0,NSTonghop!V11)</f>
        <v>0</v>
      </c>
      <c r="W11" s="128">
        <f>IF(NSTonghop!$E11&lt;&gt;0,0,NSTonghop!W11)</f>
        <v>0</v>
      </c>
      <c r="X11" s="128">
        <f>IF(NSTonghop!$E11&lt;&gt;0,0,NSTonghop!X11)</f>
        <v>0</v>
      </c>
      <c r="Y11" s="128">
        <f>IF(NSTonghop!$E11&lt;&gt;0,0,NSTonghop!Y11)</f>
        <v>0</v>
      </c>
      <c r="Z11" s="128">
        <f>IF(NSTonghop!$E11&lt;&gt;0,0,NSTonghop!Z11)</f>
        <v>0</v>
      </c>
      <c r="AA11" s="128">
        <f>IF(NSTonghop!$E11&lt;&gt;0,0,NSTonghop!AA11)</f>
        <v>0</v>
      </c>
      <c r="AB11" s="128">
        <f>IF(NSTonghop!$E11&lt;&gt;0,0,NSTonghop!AB11)</f>
        <v>0</v>
      </c>
      <c r="AC11" s="128">
        <f>IF(NSTonghop!$E11&lt;&gt;0,0,NSTonghop!AC11)</f>
        <v>0</v>
      </c>
      <c r="AD11" s="128">
        <f>IF(NSTonghop!$E11&lt;&gt;0,0,NSTonghop!AD11)</f>
        <v>0</v>
      </c>
      <c r="AE11" s="128">
        <f>IF(NSTonghop!$E11&lt;&gt;0,0,NSTonghop!AE11)</f>
        <v>0</v>
      </c>
      <c r="AF11" s="128">
        <f>IF(NSTonghop!$E11&lt;&gt;0,0,NSTonghop!AF11)</f>
        <v>0</v>
      </c>
      <c r="AG11" s="128">
        <f>IF(NSTonghop!$E11&lt;&gt;0,0,NSTonghop!AG11)</f>
        <v>0</v>
      </c>
      <c r="AH11" s="128">
        <f>IF(NSTonghop!$E11&lt;&gt;0,0,NSTonghop!AH11)</f>
        <v>0</v>
      </c>
      <c r="AI11" s="128">
        <f>IF(NSTonghop!$E11&lt;&gt;0,0,NSTonghop!AI11)</f>
        <v>0</v>
      </c>
      <c r="AJ11" s="128">
        <f>IF(NSTonghop!$E11&lt;&gt;0,0,NSTonghop!AJ11)</f>
        <v>0</v>
      </c>
      <c r="AK11" s="128">
        <f>IF(NSTonghop!$E11&lt;&gt;0,0,NSTonghop!AK11)</f>
        <v>0</v>
      </c>
      <c r="AL11" s="128">
        <f>IF(NSTonghop!$E11&lt;&gt;0,0,NSTonghop!AL11)</f>
        <v>0</v>
      </c>
      <c r="AM11" s="128">
        <f>IF(NSTonghop!$E11&lt;&gt;0,0,NSTonghop!AM11)</f>
        <v>0</v>
      </c>
      <c r="AN11" s="128">
        <f>IF(NSTonghop!$E11&lt;&gt;0,0,NSTonghop!AN11)</f>
        <v>0</v>
      </c>
      <c r="AO11" s="128">
        <f>IF(NSTonghop!$E11&lt;&gt;0,0,NSTonghop!AO11)</f>
        <v>0</v>
      </c>
      <c r="AP11" s="128">
        <f>IF(NSTonghop!$E11&lt;&gt;0,0,NSTonghop!AP11)</f>
        <v>0</v>
      </c>
      <c r="AQ11" s="128">
        <f>IF(NSTonghop!$E11&lt;&gt;0,0,NSTonghop!AQ11)</f>
        <v>0</v>
      </c>
      <c r="AR11" s="128">
        <f>IF(NSTonghop!$E11&lt;&gt;0,0,NSTonghop!AR11)</f>
        <v>0</v>
      </c>
      <c r="AS11" s="128">
        <f>IF(NSTonghop!$E11&lt;&gt;0,0,NSTonghop!AS11)</f>
        <v>0</v>
      </c>
      <c r="AT11" s="128">
        <f>IF(NSTonghop!$E11&lt;&gt;0,0,NSTonghop!AT11)</f>
        <v>0</v>
      </c>
      <c r="AU11" s="212"/>
    </row>
    <row r="12" spans="1:49" s="118" customFormat="1" x14ac:dyDescent="0.25">
      <c r="A12" s="220"/>
      <c r="B12" s="128">
        <f>IF(F12&lt;&gt;0,MAX($B$8:B11)+1,"")</f>
        <v>4</v>
      </c>
      <c r="C12" s="132">
        <f>IF(F12=0,0,MAX($C$8:C11)+1)</f>
        <v>4</v>
      </c>
      <c r="D12" s="441">
        <f>IF(NSTonghop!$E12&lt;&gt;0,0,NSTonghop!D12)</f>
        <v>33676</v>
      </c>
      <c r="E12" s="128">
        <f>IF(NSTonghop!E12&lt;&gt;0,0,0)</f>
        <v>0</v>
      </c>
      <c r="F12" s="128" t="str">
        <f>IF(NSTonghop!$E12&lt;&gt;0,0,NSTonghop!F12)</f>
        <v>Nguyễn Thị Định</v>
      </c>
      <c r="G12" s="128" t="str">
        <f>IF(NSTonghop!$E12&lt;&gt;0,0,NSTonghop!G12)</f>
        <v>x</v>
      </c>
      <c r="H12" s="128">
        <f>IF(NSTonghop!$E12&lt;&gt;0,0,NSTonghop!H12)</f>
        <v>0</v>
      </c>
      <c r="I12" s="128" t="str">
        <f>IF(NSTonghop!$E12&lt;&gt;0,0,NSTonghop!I12)</f>
        <v>10/10/1984</v>
      </c>
      <c r="J12" s="128">
        <f>IF(NSTonghop!$E12&lt;&gt;0,0,NSTonghop!J12)</f>
        <v>0</v>
      </c>
      <c r="K12" s="128">
        <f>IF(NSTonghop!$E12&lt;&gt;0,0,NSTonghop!K12)</f>
        <v>1984</v>
      </c>
      <c r="L12" s="128" t="str">
        <f>IF(NSTonghop!$E12&lt;&gt;0,0,NSTonghop!L12)</f>
        <v>NV</v>
      </c>
      <c r="M12" s="128">
        <f>IF(NSTonghop!$E12&lt;&gt;0,0,NSTonghop!M12)</f>
        <v>0</v>
      </c>
      <c r="N12" s="128" t="str">
        <f>IF(NSTonghop!$E12&lt;&gt;0,0,NSTonghop!N12)</f>
        <v>x</v>
      </c>
      <c r="O12" s="128" t="str">
        <f>IF(NSTonghop!$E12&lt;&gt;0,0,NSTonghop!O12)</f>
        <v>Nông dân</v>
      </c>
      <c r="P12" s="128" t="str">
        <f>IF(NSTonghop!$E12&lt;&gt;0,0,NSTonghop!P12)</f>
        <v>Xuân Sơn-Nghệ An</v>
      </c>
      <c r="Q12" s="128" t="str">
        <f>IF(NSTonghop!$E12&lt;&gt;0,0,NSTonghop!Q12)</f>
        <v>Xuân Sơn-Đô Lương-Nghệ An</v>
      </c>
      <c r="R12" s="128" t="str">
        <f>IF(NSTonghop!$E12&lt;&gt;0,0,NSTonghop!R12)</f>
        <v>Bình Hưng-Bình Long</v>
      </c>
      <c r="S12" s="128" t="str">
        <f>IF(NSTonghop!$E12&lt;&gt;0,0,NSTonghop!S12)</f>
        <v>PTTH/03/TB</v>
      </c>
      <c r="T12" s="128" t="str">
        <f>IF(NSTonghop!$E12&lt;&gt;0,0,NSTonghop!T12)</f>
        <v>TCCQ Dược/05/Khá</v>
      </c>
      <c r="U12" s="128" t="str">
        <f>IF(NSTonghop!$E12&lt;&gt;0,0,NSTonghop!U12)</f>
        <v>TCCQ Y/17/Giỏi</v>
      </c>
      <c r="V12" s="128">
        <f>IF(NSTonghop!$E12&lt;&gt;0,0,NSTonghop!V12)</f>
        <v>0</v>
      </c>
      <c r="W12" s="128" t="str">
        <f>IF(NSTonghop!$E12&lt;&gt;0,0,NSTonghop!W12)</f>
        <v>TCCQ</v>
      </c>
      <c r="X12" s="128">
        <f>IF(NSTonghop!$E12&lt;&gt;0,0,NSTonghop!X12)</f>
        <v>0</v>
      </c>
      <c r="Y12" s="128">
        <f>IF(NSTonghop!$E12&lt;&gt;0,0,NSTonghop!Y12)</f>
        <v>0</v>
      </c>
      <c r="Z12" s="128">
        <f>IF(NSTonghop!$E12&lt;&gt;0,0,NSTonghop!Z12)</f>
        <v>0</v>
      </c>
      <c r="AA12" s="128">
        <f>IF(NSTonghop!$E12&lt;&gt;0,0,NSTonghop!AA12)</f>
        <v>0</v>
      </c>
      <c r="AB12" s="128" t="str">
        <f>IF(NSTonghop!$E12&lt;&gt;0,0,NSTonghop!AB12)</f>
        <v>A/06/Khá</v>
      </c>
      <c r="AC12" s="128">
        <f>IF(NSTonghop!$E12&lt;&gt;0,0,NSTonghop!AC12)</f>
        <v>0</v>
      </c>
      <c r="AD12" s="128">
        <f>IF(NSTonghop!$E12&lt;&gt;0,0,NSTonghop!AD12)</f>
        <v>0</v>
      </c>
      <c r="AE12" s="128">
        <f>IF(NSTonghop!$E12&lt;&gt;0,0,NSTonghop!AE12)</f>
        <v>0</v>
      </c>
      <c r="AF12" s="128">
        <f>IF(NSTonghop!$E12&lt;&gt;0,0,NSTonghop!AF12)</f>
        <v>0</v>
      </c>
      <c r="AG12" s="128" t="str">
        <f>IF(NSTonghop!$E12&lt;&gt;0,0,NSTonghop!AG12)</f>
        <v>V.08.03.07</v>
      </c>
      <c r="AH12" s="128">
        <f>IF(NSTonghop!$E12&lt;&gt;0,0,NSTonghop!AH12)</f>
        <v>0</v>
      </c>
      <c r="AI12" s="128">
        <f>IF(NSTonghop!$E12&lt;&gt;0,0,NSTonghop!AI12)</f>
        <v>8908011066</v>
      </c>
      <c r="AJ12" s="128">
        <f>IF(NSTonghop!$E12&lt;&gt;0,0,NSTonghop!AJ12)</f>
        <v>352571880</v>
      </c>
      <c r="AK12" s="128" t="str">
        <f>IF(NSTonghop!$E12&lt;&gt;0,0,NSTonghop!AK12)</f>
        <v>12/07/2016</v>
      </c>
      <c r="AL12" s="128" t="str">
        <f>IF(NSTonghop!$E12&lt;&gt;0,0,NSTonghop!AL12)</f>
        <v>01/09/2008</v>
      </c>
      <c r="AM12" s="128" t="str">
        <f>IF(NSTonghop!$E12&lt;&gt;0,0,NSTonghop!AM12)</f>
        <v>29/06/2011</v>
      </c>
      <c r="AN12" s="128" t="str">
        <f>IF(NSTonghop!$E12&lt;&gt;0,0,NSTonghop!AN12)</f>
        <v>01/03/2009</v>
      </c>
      <c r="AO12" s="128">
        <f>IF(NSTonghop!$E12&lt;&gt;0,0,NSTonghop!AO12)</f>
        <v>0</v>
      </c>
      <c r="AP12" s="128">
        <f>IF(NSTonghop!$E12&lt;&gt;0,0,NSTonghop!AP12)</f>
        <v>0</v>
      </c>
      <c r="AQ12" s="128" t="str">
        <f>IF(NSTonghop!$E12&lt;&gt;0,0,NSTonghop!AQ12)</f>
        <v/>
      </c>
      <c r="AR12" s="128">
        <f>IF(NSTonghop!$E12&lt;&gt;0,0,NSTonghop!AR12)</f>
        <v>0</v>
      </c>
      <c r="AS12" s="128">
        <f>IF(NSTonghop!$E12&lt;&gt;0,0,NSTonghop!AS12)</f>
        <v>0</v>
      </c>
      <c r="AT12" s="128" t="str">
        <f>IF(NSTonghop!$E12&lt;&gt;0,0,NSTonghop!AT12)</f>
        <v>0939208139</v>
      </c>
      <c r="AU12" s="212"/>
    </row>
    <row r="13" spans="1:49" s="118" customFormat="1" x14ac:dyDescent="0.25">
      <c r="A13" s="220"/>
      <c r="B13" s="128" t="str">
        <f>IF(F13&lt;&gt;0,MAX($B$8:B12)+1,"")</f>
        <v/>
      </c>
      <c r="C13" s="132">
        <f>IF(F13=0,0,MAX($C$8:C12)+1)</f>
        <v>0</v>
      </c>
      <c r="D13" s="133">
        <f>IF(NSTonghop!$E13&lt;&gt;0,0,NSTonghop!D13)</f>
        <v>0</v>
      </c>
      <c r="E13" s="128">
        <f>IF(NSTonghop!E13&lt;&gt;0,0,0)</f>
        <v>0</v>
      </c>
      <c r="F13" s="128">
        <f>IF(NSTonghop!$E13&lt;&gt;0,0,NSTonghop!F13)</f>
        <v>0</v>
      </c>
      <c r="G13" s="128">
        <f>IF(NSTonghop!$E13&lt;&gt;0,0,NSTonghop!G13)</f>
        <v>0</v>
      </c>
      <c r="H13" s="128">
        <f>IF(NSTonghop!$E13&lt;&gt;0,0,NSTonghop!H13)</f>
        <v>0</v>
      </c>
      <c r="I13" s="128">
        <f>IF(NSTonghop!$E13&lt;&gt;0,0,NSTonghop!I13)</f>
        <v>0</v>
      </c>
      <c r="J13" s="128">
        <f>IF(NSTonghop!$E13&lt;&gt;0,0,NSTonghop!J13)</f>
        <v>0</v>
      </c>
      <c r="K13" s="128">
        <f>IF(NSTonghop!$E13&lt;&gt;0,0,NSTonghop!K13)</f>
        <v>0</v>
      </c>
      <c r="L13" s="128">
        <f>IF(NSTonghop!$E13&lt;&gt;0,0,NSTonghop!L13)</f>
        <v>0</v>
      </c>
      <c r="M13" s="128">
        <f>IF(NSTonghop!$E13&lt;&gt;0,0,NSTonghop!M13)</f>
        <v>0</v>
      </c>
      <c r="N13" s="128">
        <f>IF(NSTonghop!$E13&lt;&gt;0,0,NSTonghop!N13)</f>
        <v>0</v>
      </c>
      <c r="O13" s="128">
        <f>IF(NSTonghop!$E13&lt;&gt;0,0,NSTonghop!O13)</f>
        <v>0</v>
      </c>
      <c r="P13" s="128">
        <f>IF(NSTonghop!$E13&lt;&gt;0,0,NSTonghop!P13)</f>
        <v>0</v>
      </c>
      <c r="Q13" s="128">
        <f>IF(NSTonghop!$E13&lt;&gt;0,0,NSTonghop!Q13)</f>
        <v>0</v>
      </c>
      <c r="R13" s="128">
        <f>IF(NSTonghop!$E13&lt;&gt;0,0,NSTonghop!R13)</f>
        <v>0</v>
      </c>
      <c r="S13" s="128">
        <f>IF(NSTonghop!$E13&lt;&gt;0,0,NSTonghop!S13)</f>
        <v>0</v>
      </c>
      <c r="T13" s="128">
        <f>IF(NSTonghop!$E13&lt;&gt;0,0,NSTonghop!T13)</f>
        <v>0</v>
      </c>
      <c r="U13" s="128">
        <f>IF(NSTonghop!$E13&lt;&gt;0,0,NSTonghop!U13)</f>
        <v>0</v>
      </c>
      <c r="V13" s="128">
        <f>IF(NSTonghop!$E13&lt;&gt;0,0,NSTonghop!V13)</f>
        <v>0</v>
      </c>
      <c r="W13" s="128">
        <f>IF(NSTonghop!$E13&lt;&gt;0,0,NSTonghop!W13)</f>
        <v>0</v>
      </c>
      <c r="X13" s="128">
        <f>IF(NSTonghop!$E13&lt;&gt;0,0,NSTonghop!X13)</f>
        <v>0</v>
      </c>
      <c r="Y13" s="128">
        <f>IF(NSTonghop!$E13&lt;&gt;0,0,NSTonghop!Y13)</f>
        <v>0</v>
      </c>
      <c r="Z13" s="128">
        <f>IF(NSTonghop!$E13&lt;&gt;0,0,NSTonghop!Z13)</f>
        <v>0</v>
      </c>
      <c r="AA13" s="128">
        <f>IF(NSTonghop!$E13&lt;&gt;0,0,NSTonghop!AA13)</f>
        <v>0</v>
      </c>
      <c r="AB13" s="128">
        <f>IF(NSTonghop!$E13&lt;&gt;0,0,NSTonghop!AB13)</f>
        <v>0</v>
      </c>
      <c r="AC13" s="128">
        <f>IF(NSTonghop!$E13&lt;&gt;0,0,NSTonghop!AC13)</f>
        <v>0</v>
      </c>
      <c r="AD13" s="128">
        <f>IF(NSTonghop!$E13&lt;&gt;0,0,NSTonghop!AD13)</f>
        <v>0</v>
      </c>
      <c r="AE13" s="128">
        <f>IF(NSTonghop!$E13&lt;&gt;0,0,NSTonghop!AE13)</f>
        <v>0</v>
      </c>
      <c r="AF13" s="128">
        <f>IF(NSTonghop!$E13&lt;&gt;0,0,NSTonghop!AF13)</f>
        <v>0</v>
      </c>
      <c r="AG13" s="128">
        <f>IF(NSTonghop!$E13&lt;&gt;0,0,NSTonghop!AG13)</f>
        <v>0</v>
      </c>
      <c r="AH13" s="128">
        <f>IF(NSTonghop!$E13&lt;&gt;0,0,NSTonghop!AH13)</f>
        <v>0</v>
      </c>
      <c r="AI13" s="128">
        <f>IF(NSTonghop!$E13&lt;&gt;0,0,NSTonghop!AI13)</f>
        <v>0</v>
      </c>
      <c r="AJ13" s="128">
        <f>IF(NSTonghop!$E13&lt;&gt;0,0,NSTonghop!AJ13)</f>
        <v>0</v>
      </c>
      <c r="AK13" s="128">
        <f>IF(NSTonghop!$E13&lt;&gt;0,0,NSTonghop!AK13)</f>
        <v>0</v>
      </c>
      <c r="AL13" s="128">
        <f>IF(NSTonghop!$E13&lt;&gt;0,0,NSTonghop!AL13)</f>
        <v>0</v>
      </c>
      <c r="AM13" s="128">
        <f>IF(NSTonghop!$E13&lt;&gt;0,0,NSTonghop!AM13)</f>
        <v>0</v>
      </c>
      <c r="AN13" s="128">
        <f>IF(NSTonghop!$E13&lt;&gt;0,0,NSTonghop!AN13)</f>
        <v>0</v>
      </c>
      <c r="AO13" s="128">
        <f>IF(NSTonghop!$E13&lt;&gt;0,0,NSTonghop!AO13)</f>
        <v>0</v>
      </c>
      <c r="AP13" s="128">
        <f>IF(NSTonghop!$E13&lt;&gt;0,0,NSTonghop!AP13)</f>
        <v>0</v>
      </c>
      <c r="AQ13" s="128">
        <f>IF(NSTonghop!$E13&lt;&gt;0,0,NSTonghop!AQ13)</f>
        <v>0</v>
      </c>
      <c r="AR13" s="128">
        <f>IF(NSTonghop!$E13&lt;&gt;0,0,NSTonghop!AR13)</f>
        <v>0</v>
      </c>
      <c r="AS13" s="128">
        <f>IF(NSTonghop!$E13&lt;&gt;0,0,NSTonghop!AS13)</f>
        <v>0</v>
      </c>
      <c r="AT13" s="128">
        <f>IF(NSTonghop!$E13&lt;&gt;0,0,NSTonghop!AT13)</f>
        <v>0</v>
      </c>
      <c r="AU13" s="212"/>
    </row>
    <row r="14" spans="1:49" s="118" customFormat="1" x14ac:dyDescent="0.25">
      <c r="A14" s="220"/>
      <c r="B14" s="142">
        <f>IF(F14&lt;&gt;0,MAX($B$8:B13)+1,"")</f>
        <v>5</v>
      </c>
      <c r="C14" s="143">
        <f>IF(F14=0,0,MAX($C$8:C13)+1)</f>
        <v>5</v>
      </c>
      <c r="D14" s="442">
        <f>IF(NSTonghop!$E14&lt;&gt;0,0,NSTonghop!D14)</f>
        <v>29943</v>
      </c>
      <c r="E14" s="142">
        <f>IF(NSTonghop!E14&lt;&gt;0,0,0)</f>
        <v>0</v>
      </c>
      <c r="F14" s="142" t="str">
        <f>IF(NSTonghop!$E14&lt;&gt;0,0,NSTonghop!F14)</f>
        <v>Lê Văn Thắng</v>
      </c>
      <c r="G14" s="142">
        <f>IF(NSTonghop!$E14&lt;&gt;0,0,NSTonghop!G14)</f>
        <v>0</v>
      </c>
      <c r="H14" s="142" t="str">
        <f>IF(NSTonghop!$E14&lt;&gt;0,0,NSTonghop!H14)</f>
        <v>19/04/1969</v>
      </c>
      <c r="I14" s="142">
        <f>IF(NSTonghop!$E14&lt;&gt;0,0,NSTonghop!I14)</f>
        <v>0</v>
      </c>
      <c r="J14" s="142">
        <f>IF(NSTonghop!$E14&lt;&gt;0,0,NSTonghop!J14)</f>
        <v>1969</v>
      </c>
      <c r="K14" s="142">
        <f>IF(NSTonghop!$E14&lt;&gt;0,0,NSTonghop!K14)</f>
        <v>0</v>
      </c>
      <c r="L14" s="142" t="str">
        <f>IF(NSTonghop!$E14&lt;&gt;0,0,NSTonghop!L14)</f>
        <v>NV</v>
      </c>
      <c r="M14" s="142">
        <f>IF(NSTonghop!$E14&lt;&gt;0,0,NSTonghop!M14)</f>
        <v>0</v>
      </c>
      <c r="N14" s="142" t="str">
        <f>IF(NSTonghop!$E14&lt;&gt;0,0,NSTonghop!N14)</f>
        <v>Hòa Hảo</v>
      </c>
      <c r="O14" s="142" t="str">
        <f>IF(NSTonghop!$E14&lt;&gt;0,0,NSTonghop!O14)</f>
        <v>Nông dân</v>
      </c>
      <c r="P14" s="142" t="str">
        <f>IF(NSTonghop!$E14&lt;&gt;0,0,NSTonghop!P14)</f>
        <v>Vĩnh Thạnh Trung-An Giang</v>
      </c>
      <c r="Q14" s="142" t="str">
        <f>IF(NSTonghop!$E14&lt;&gt;0,0,NSTonghop!Q14)</f>
        <v>Vĩnh Thạnh Trung-Châu Phú</v>
      </c>
      <c r="R14" s="142" t="str">
        <f>IF(NSTonghop!$E14&lt;&gt;0,0,NSTonghop!R14)</f>
        <v>Vĩnh Hưng-VTT</v>
      </c>
      <c r="S14" s="142" t="str">
        <f>IF(NSTonghop!$E14&lt;&gt;0,0,NSTonghop!S14)</f>
        <v>PTCS/08/Khá</v>
      </c>
      <c r="T14" s="142" t="str">
        <f>IF(NSTonghop!$E14&lt;&gt;0,0,NSTonghop!T14)</f>
        <v>x</v>
      </c>
      <c r="U14" s="142">
        <f>IF(NSTonghop!$E14&lt;&gt;0,0,NSTonghop!U14)</f>
        <v>0</v>
      </c>
      <c r="V14" s="142">
        <f>IF(NSTonghop!$E14&lt;&gt;0,0,NSTonghop!V14)</f>
        <v>0</v>
      </c>
      <c r="W14" s="142" t="str">
        <f>IF(NSTonghop!$E14&lt;&gt;0,0,NSTonghop!W14)</f>
        <v>x</v>
      </c>
      <c r="X14" s="142">
        <f>IF(NSTonghop!$E14&lt;&gt;0,0,NSTonghop!X14)</f>
        <v>0</v>
      </c>
      <c r="Y14" s="142">
        <f>IF(NSTonghop!$E14&lt;&gt;0,0,NSTonghop!Y14)</f>
        <v>0</v>
      </c>
      <c r="Z14" s="142">
        <f>IF(NSTonghop!$E14&lt;&gt;0,0,NSTonghop!Z14)</f>
        <v>0</v>
      </c>
      <c r="AA14" s="142">
        <f>IF(NSTonghop!$E14&lt;&gt;0,0,NSTonghop!AA14)</f>
        <v>0</v>
      </c>
      <c r="AB14" s="142">
        <f>IF(NSTonghop!$E14&lt;&gt;0,0,NSTonghop!AB14)</f>
        <v>0</v>
      </c>
      <c r="AC14" s="142">
        <f>IF(NSTonghop!$E14&lt;&gt;0,0,NSTonghop!AC14)</f>
        <v>0</v>
      </c>
      <c r="AD14" s="142">
        <f>IF(NSTonghop!$E14&lt;&gt;0,0,NSTonghop!AD14)</f>
        <v>0</v>
      </c>
      <c r="AE14" s="142">
        <f>IF(NSTonghop!$E14&lt;&gt;0,0,NSTonghop!AE14)</f>
        <v>0</v>
      </c>
      <c r="AF14" s="142">
        <f>IF(NSTonghop!$E14&lt;&gt;0,0,NSTonghop!AF14)</f>
        <v>0</v>
      </c>
      <c r="AG14" s="142" t="str">
        <f>IF(NSTonghop!$E14&lt;&gt;0,0,NSTonghop!AG14)</f>
        <v>01.011</v>
      </c>
      <c r="AH14" s="142">
        <f>IF(NSTonghop!$E14&lt;&gt;0,0,NSTonghop!AH14)</f>
        <v>0</v>
      </c>
      <c r="AI14" s="142">
        <f>IF(NSTonghop!$E14&lt;&gt;0,0,NSTonghop!AI14)</f>
        <v>5006003483</v>
      </c>
      <c r="AJ14" s="142">
        <f>IF(NSTonghop!$E14&lt;&gt;0,0,NSTonghop!AJ14)</f>
        <v>350836806</v>
      </c>
      <c r="AK14" s="142" t="str">
        <f>IF(NSTonghop!$E14&lt;&gt;0,0,NSTonghop!AK14)</f>
        <v>13/01/2004</v>
      </c>
      <c r="AL14" s="142" t="str">
        <f>IF(NSTonghop!$E14&lt;&gt;0,0,NSTonghop!AL14)</f>
        <v>01/11/2005</v>
      </c>
      <c r="AM14" s="142" t="str">
        <f>IF(NSTonghop!$E14&lt;&gt;0,0,NSTonghop!AM14)</f>
        <v>01/11/2005</v>
      </c>
      <c r="AN14" s="142" t="str">
        <f>IF(NSTonghop!$E14&lt;&gt;0,0,NSTonghop!AN14)</f>
        <v>không</v>
      </c>
      <c r="AO14" s="142">
        <f>IF(NSTonghop!$E14&lt;&gt;0,0,NSTonghop!AO14)</f>
        <v>0</v>
      </c>
      <c r="AP14" s="142">
        <f>IF(NSTonghop!$E14&lt;&gt;0,0,NSTonghop!AP14)</f>
        <v>0</v>
      </c>
      <c r="AQ14" s="142" t="str">
        <f>IF(NSTonghop!$E14&lt;&gt;0,0,NSTonghop!AQ14)</f>
        <v/>
      </c>
      <c r="AR14" s="142">
        <f>IF(NSTonghop!$E14&lt;&gt;0,0,NSTonghop!AR14)</f>
        <v>0</v>
      </c>
      <c r="AS14" s="142">
        <f>IF(NSTonghop!$E14&lt;&gt;0,0,NSTonghop!AS14)</f>
        <v>0</v>
      </c>
      <c r="AT14" s="142" t="str">
        <f>IF(NSTonghop!$E14&lt;&gt;0,0,NSTonghop!AT14)</f>
        <v>0382441727</v>
      </c>
      <c r="AU14" s="212"/>
    </row>
    <row r="15" spans="1:49" x14ac:dyDescent="0.25">
      <c r="A15" s="220"/>
      <c r="B15" s="151">
        <f>IF(F15&lt;&gt;0,MAX($B$8:B14)+1,"")</f>
        <v>6</v>
      </c>
      <c r="C15" s="152">
        <f>IF(F15=0,0,1)</f>
        <v>1</v>
      </c>
      <c r="D15" s="441">
        <f>IF(NSTonghop!$E15&lt;&gt;0,0,NSTonghop!D15)</f>
        <v>1392</v>
      </c>
      <c r="E15" s="151">
        <f>IF(NSTonghop!E15&lt;&gt;0,0,0)</f>
        <v>0</v>
      </c>
      <c r="F15" s="151" t="str">
        <f>IF(NSTonghop!$E15&lt;&gt;0,0,NSTonghop!F15)</f>
        <v>Nguyễn Thanh Hùng</v>
      </c>
      <c r="G15" s="151">
        <f>IF(NSTonghop!$E15&lt;&gt;0,0,NSTonghop!G15)</f>
        <v>0</v>
      </c>
      <c r="H15" s="151" t="str">
        <f>IF(NSTonghop!$E15&lt;&gt;0,0,NSTonghop!H15)</f>
        <v>29/12/1967</v>
      </c>
      <c r="I15" s="151">
        <f>IF(NSTonghop!$E15&lt;&gt;0,0,NSTonghop!I15)</f>
        <v>0</v>
      </c>
      <c r="J15" s="151">
        <f>IF(NSTonghop!$E15&lt;&gt;0,0,NSTonghop!J15)</f>
        <v>1967</v>
      </c>
      <c r="K15" s="151">
        <f>IF(NSTonghop!$E15&lt;&gt;0,0,NSTonghop!K15)</f>
        <v>0</v>
      </c>
      <c r="L15" s="151" t="str">
        <f>IF(NSTonghop!$E15&lt;&gt;0,0,NSTonghop!L15)</f>
        <v>HT</v>
      </c>
      <c r="M15" s="151" t="str">
        <f>IF(NSTonghop!$E15&lt;&gt;0,0,NSTonghop!M15)</f>
        <v>09/03/2017</v>
      </c>
      <c r="N15" s="151" t="str">
        <f>IF(NSTonghop!$E15&lt;&gt;0,0,NSTonghop!N15)</f>
        <v>x</v>
      </c>
      <c r="O15" s="151" t="str">
        <f>IF(NSTonghop!$E15&lt;&gt;0,0,NSTonghop!O15)</f>
        <v>Nông dân</v>
      </c>
      <c r="P15" s="151" t="str">
        <f>IF(NSTonghop!$E15&lt;&gt;0,0,NSTonghop!P15)</f>
        <v>Điều Hòa-Định Tường</v>
      </c>
      <c r="Q15" s="151" t="str">
        <f>IF(NSTonghop!$E15&lt;&gt;0,0,NSTonghop!Q15)</f>
        <v>Bình Mỹ-Châu Phú</v>
      </c>
      <c r="R15" s="151" t="str">
        <f>IF(NSTonghop!$E15&lt;&gt;0,0,NSTonghop!R15)</f>
        <v>198/5 Bình Hưng I, Bình Mỹ</v>
      </c>
      <c r="S15" s="151" t="str">
        <f>IF(NSTonghop!$E15&lt;&gt;0,0,NSTonghop!S15)</f>
        <v>PTTH/85/TB</v>
      </c>
      <c r="T15" s="151" t="str">
        <f>IF(NSTonghop!$E15&lt;&gt;0,0,NSTonghop!T15)</f>
        <v>CĐ2/Lý-KTPT/87/TB</v>
      </c>
      <c r="U15" s="151" t="str">
        <f>IF(NSTonghop!$E15&lt;&gt;0,0,NSTonghop!U15)</f>
        <v>ĐHTC/Lý/97/TB</v>
      </c>
      <c r="V15" s="151" t="str">
        <f>IF(NSTonghop!$E15&lt;&gt;0,0,NSTonghop!V15)</f>
        <v>QLSREM/09</v>
      </c>
      <c r="W15" s="151" t="str">
        <f>IF(NSTonghop!$E15&lt;&gt;0,0,NSTonghop!W15)</f>
        <v>ĐHTC</v>
      </c>
      <c r="X15" s="151" t="str">
        <f>IF(NSTonghop!$E15&lt;&gt;0,0,NSTonghop!X15)</f>
        <v>Lý</v>
      </c>
      <c r="Y15" s="151">
        <f>IF(NSTonghop!$E15&lt;&gt;0,0,NSTonghop!Y15)</f>
        <v>0</v>
      </c>
      <c r="Z15" s="151" t="str">
        <f>IF(NSTonghop!$E15&lt;&gt;0,0,NSTonghop!Z15)</f>
        <v>QLPT/99/Khá</v>
      </c>
      <c r="AA15" s="151" t="str">
        <f>IF(NSTonghop!$E15&lt;&gt;0,0,NSTonghop!AA15)</f>
        <v>TC/01/Khá</v>
      </c>
      <c r="AB15" s="151">
        <f>IF(NSTonghop!$E15&lt;&gt;0,0,NSTonghop!AB15)</f>
        <v>0</v>
      </c>
      <c r="AC15" s="151">
        <f>IF(NSTonghop!$E15&lt;&gt;0,0,NSTonghop!AC15)</f>
        <v>0</v>
      </c>
      <c r="AD15" s="151" t="str">
        <f>IF(NSTonghop!$E15&lt;&gt;0,0,NSTonghop!AD15)</f>
        <v>KĐCL/10</v>
      </c>
      <c r="AE15" s="151" t="str">
        <f>IF(NSTonghop!$E15&lt;&gt;0,0,NSTonghop!AE15)</f>
        <v>NLQLTC/09</v>
      </c>
      <c r="AF15" s="151" t="str">
        <f>IF(NSTonghop!$E15&lt;&gt;0,0,NSTonghop!AF15)</f>
        <v>NLCLPT/13</v>
      </c>
      <c r="AG15" s="151" t="str">
        <f>IF(NSTonghop!$E15&lt;&gt;0,0,NSTonghop!AG15)</f>
        <v>V.07.04.11</v>
      </c>
      <c r="AH15" s="151" t="str">
        <f>IF(NSTonghop!$E15&lt;&gt;0,0,NSTonghop!AH15)</f>
        <v>CC/09/Giỏi</v>
      </c>
      <c r="AI15" s="151">
        <f>IF(NSTonghop!$E15&lt;&gt;0,0,NSTonghop!AI15)</f>
        <v>5096004261</v>
      </c>
      <c r="AJ15" s="151">
        <f>IF(NSTonghop!$E15&lt;&gt;0,0,NSTonghop!AJ15)</f>
        <v>350829378</v>
      </c>
      <c r="AK15" s="151" t="str">
        <f>IF(NSTonghop!$E15&lt;&gt;0,0,NSTonghop!AK15)</f>
        <v>28/06/2007</v>
      </c>
      <c r="AL15" s="151" t="str">
        <f>IF(NSTonghop!$E15&lt;&gt;0,0,NSTonghop!AL15)</f>
        <v>10/09/1987</v>
      </c>
      <c r="AM15" s="151" t="str">
        <f>IF(NSTonghop!$E15&lt;&gt;0,0,NSTonghop!AM15)</f>
        <v>13/03/2017</v>
      </c>
      <c r="AN15" s="151" t="str">
        <f>IF(NSTonghop!$E15&lt;&gt;0,0,NSTonghop!AN15)</f>
        <v>01/01/1990</v>
      </c>
      <c r="AO15" s="151" t="str">
        <f>IF(NSTonghop!$E15&lt;&gt;0,0,NSTonghop!AO15)</f>
        <v>16/04/1998</v>
      </c>
      <c r="AP15" s="151" t="str">
        <f>IF(NSTonghop!$E15&lt;&gt;0,0,NSTonghop!AP15)</f>
        <v>31.014 905</v>
      </c>
      <c r="AQ15" s="151">
        <f>IF(NSTonghop!$E15&lt;&gt;0,0,NSTonghop!AQ15)</f>
        <v>1998</v>
      </c>
      <c r="AR15" s="151">
        <f>IF(NSTonghop!$E15&lt;&gt;0,0,NSTonghop!AR15)</f>
        <v>1986</v>
      </c>
      <c r="AS15" s="151">
        <f>IF(NSTonghop!$E15&lt;&gt;0,0,NSTonghop!AS15)</f>
        <v>1989</v>
      </c>
      <c r="AT15" s="151" t="str">
        <f>IF(NSTonghop!$E15&lt;&gt;0,0,NSTonghop!AT15)</f>
        <v>0919304371</v>
      </c>
      <c r="AU15" s="212"/>
    </row>
    <row r="16" spans="1:49" x14ac:dyDescent="0.25">
      <c r="A16" s="220"/>
      <c r="B16" s="162">
        <f>IF(F16&lt;&gt;0,MAX($B$8:B15)+1,"")</f>
        <v>7</v>
      </c>
      <c r="C16" s="163">
        <f>IF(F16=0,0,MAX($C$15:C15)+1)</f>
        <v>2</v>
      </c>
      <c r="D16" s="441">
        <f>IF(NSTonghop!$E16&lt;&gt;0,0,NSTonghop!D16)</f>
        <v>1426</v>
      </c>
      <c r="E16" s="162">
        <f>IF(NSTonghop!E16&lt;&gt;0,0,0)</f>
        <v>0</v>
      </c>
      <c r="F16" s="162" t="str">
        <f>IF(NSTonghop!$E16&lt;&gt;0,0,NSTonghop!F16)</f>
        <v>Võ Minh Triết</v>
      </c>
      <c r="G16" s="162">
        <f>IF(NSTonghop!$E16&lt;&gt;0,0,NSTonghop!G16)</f>
        <v>0</v>
      </c>
      <c r="H16" s="162" t="str">
        <f>IF(NSTonghop!$E16&lt;&gt;0,0,NSTonghop!H16)</f>
        <v>08/07/1968</v>
      </c>
      <c r="I16" s="162">
        <f>IF(NSTonghop!$E16&lt;&gt;0,0,NSTonghop!I16)</f>
        <v>0</v>
      </c>
      <c r="J16" s="162">
        <f>IF(NSTonghop!$E16&lt;&gt;0,0,NSTonghop!J16)</f>
        <v>1968</v>
      </c>
      <c r="K16" s="162">
        <f>IF(NSTonghop!$E16&lt;&gt;0,0,NSTonghop!K16)</f>
        <v>0</v>
      </c>
      <c r="L16" s="162" t="str">
        <f>IF(NSTonghop!$E16&lt;&gt;0,0,NSTonghop!L16)</f>
        <v>PHT</v>
      </c>
      <c r="M16" s="162" t="str">
        <f>IF(NSTonghop!$E16&lt;&gt;0,0,NSTonghop!M16)</f>
        <v>17/11/2014</v>
      </c>
      <c r="N16" s="162" t="str">
        <f>IF(NSTonghop!$E16&lt;&gt;0,0,NSTonghop!N16)</f>
        <v>x</v>
      </c>
      <c r="O16" s="162" t="str">
        <f>IF(NSTonghop!$E16&lt;&gt;0,0,NSTonghop!O16)</f>
        <v>Nông dân</v>
      </c>
      <c r="P16" s="162" t="str">
        <f>IF(NSTonghop!$E16&lt;&gt;0,0,NSTonghop!P16)</f>
        <v>Vĩnh Thạnh Trung-An Giang</v>
      </c>
      <c r="Q16" s="162" t="str">
        <f>IF(NSTonghop!$E16&lt;&gt;0,0,NSTonghop!Q16)</f>
        <v>Vĩnh Thạnh Trung-Châu Phú</v>
      </c>
      <c r="R16" s="162" t="str">
        <f>IF(NSTonghop!$E16&lt;&gt;0,0,NSTonghop!R16)</f>
        <v>Vĩnh Hưng-VTT</v>
      </c>
      <c r="S16" s="162" t="str">
        <f>IF(NSTonghop!$E16&lt;&gt;0,0,NSTonghop!S16)</f>
        <v>PTTH/85/TB</v>
      </c>
      <c r="T16" s="162" t="str">
        <f>IF(NSTonghop!$E16&lt;&gt;0,0,NSTonghop!T16)</f>
        <v>CĐ3/Toán-KTCN/89/TB</v>
      </c>
      <c r="U16" s="162" t="str">
        <f>IF(NSTonghop!$E16&lt;&gt;0,0,NSTonghop!U16)</f>
        <v>ĐHTX/Toán/99/Khá</v>
      </c>
      <c r="V16" s="162">
        <f>IF(NSTonghop!$E16&lt;&gt;0,0,NSTonghop!V16)</f>
        <v>0</v>
      </c>
      <c r="W16" s="162" t="str">
        <f>IF(NSTonghop!$E16&lt;&gt;0,0,NSTonghop!W16)</f>
        <v>ĐHTX</v>
      </c>
      <c r="X16" s="162" t="str">
        <f>IF(NSTonghop!$E16&lt;&gt;0,0,NSTonghop!X16)</f>
        <v>Toán</v>
      </c>
      <c r="Y16" s="162">
        <f>IF(NSTonghop!$E16&lt;&gt;0,0,NSTonghop!Y16)</f>
        <v>0</v>
      </c>
      <c r="Z16" s="162" t="str">
        <f>IF(NSTonghop!$E16&lt;&gt;0,0,NSTonghop!Z16)</f>
        <v>QLTHCS/09/Khá</v>
      </c>
      <c r="AA16" s="162" t="str">
        <f>IF(NSTonghop!$E16&lt;&gt;0,0,NSTonghop!AA16)</f>
        <v>TC/05/TB</v>
      </c>
      <c r="AB16" s="162" t="str">
        <f>IF(NSTonghop!$E16&lt;&gt;0,0,NSTonghop!AB16)</f>
        <v>A/03/Giỏi</v>
      </c>
      <c r="AC16" s="162" t="str">
        <f>IF(NSTonghop!$E16&lt;&gt;0,0,NSTonghop!AC16)</f>
        <v>A/Anh/07/TB</v>
      </c>
      <c r="AD16" s="162">
        <f>IF(NSTonghop!$E16&lt;&gt;0,0,NSTonghop!AD16)</f>
        <v>0</v>
      </c>
      <c r="AE16" s="162" t="str">
        <f>IF(NSTonghop!$E16&lt;&gt;0,0,NSTonghop!AE16)</f>
        <v>NLQLTC/09</v>
      </c>
      <c r="AF16" s="162" t="str">
        <f>IF(NSTonghop!$E16&lt;&gt;0,0,NSTonghop!AF16)</f>
        <v>NLCLPT/13</v>
      </c>
      <c r="AG16" s="162" t="str">
        <f>IF(NSTonghop!$E16&lt;&gt;0,0,NSTonghop!AG16)</f>
        <v>V.07.04.11</v>
      </c>
      <c r="AH16" s="162" t="str">
        <f>IF(NSTonghop!$E16&lt;&gt;0,0,NSTonghop!AH16)</f>
        <v>CC/09/Khá</v>
      </c>
      <c r="AI16" s="162">
        <f>IF(NSTonghop!$E16&lt;&gt;0,0,NSTonghop!AI16)</f>
        <v>5096017217</v>
      </c>
      <c r="AJ16" s="162">
        <f>IF(NSTonghop!$E16&lt;&gt;0,0,NSTonghop!AJ16)</f>
        <v>350770109</v>
      </c>
      <c r="AK16" s="162" t="str">
        <f>IF(NSTonghop!$E16&lt;&gt;0,0,NSTonghop!AK16)</f>
        <v>10/10/2010</v>
      </c>
      <c r="AL16" s="162" t="str">
        <f>IF(NSTonghop!$E16&lt;&gt;0,0,NSTonghop!AL16)</f>
        <v>05/09/1988</v>
      </c>
      <c r="AM16" s="162" t="str">
        <f>IF(NSTonghop!$E16&lt;&gt;0,0,NSTonghop!AM16)</f>
        <v>01/08/2014</v>
      </c>
      <c r="AN16" s="162" t="str">
        <f>IF(NSTonghop!$E16&lt;&gt;0,0,NSTonghop!AN16)</f>
        <v>01/10/1991</v>
      </c>
      <c r="AO16" s="162" t="str">
        <f>IF(NSTonghop!$E16&lt;&gt;0,0,NSTonghop!AO16)</f>
        <v>18/09/2003</v>
      </c>
      <c r="AP16" s="162" t="str">
        <f>IF(NSTonghop!$E16&lt;&gt;0,0,NSTonghop!AP16)</f>
        <v>31.026 868</v>
      </c>
      <c r="AQ16" s="162">
        <f>IF(NSTonghop!$E16&lt;&gt;0,0,NSTonghop!AQ16)</f>
        <v>2003</v>
      </c>
      <c r="AR16" s="162">
        <f>IF(NSTonghop!$E16&lt;&gt;0,0,NSTonghop!AR16)</f>
        <v>0</v>
      </c>
      <c r="AS16" s="162">
        <f>IF(NSTonghop!$E16&lt;&gt;0,0,NSTonghop!AS16)</f>
        <v>0</v>
      </c>
      <c r="AT16" s="162" t="str">
        <f>IF(NSTonghop!$E16&lt;&gt;0,0,NSTonghop!AT16)</f>
        <v>0919029403</v>
      </c>
      <c r="AU16" s="212"/>
    </row>
    <row r="17" spans="1:47" x14ac:dyDescent="0.25">
      <c r="A17" s="220"/>
      <c r="B17" s="162">
        <f>IF(F17&lt;&gt;0,MAX($B$8:B16)+1,"")</f>
        <v>8</v>
      </c>
      <c r="C17" s="163">
        <f>IF(F17=0,0,MAX($C$15:C16)+1)</f>
        <v>3</v>
      </c>
      <c r="D17" s="441">
        <f>IF(NSTonghop!$E17&lt;&gt;0,0,NSTonghop!D17)</f>
        <v>1161</v>
      </c>
      <c r="E17" s="162">
        <f>IF(NSTonghop!E17&lt;&gt;0,0,0)</f>
        <v>0</v>
      </c>
      <c r="F17" s="162" t="str">
        <f>IF(NSTonghop!$E17&lt;&gt;0,0,NSTonghop!F17)</f>
        <v>Dương Thanh Phong</v>
      </c>
      <c r="G17" s="162">
        <f>IF(NSTonghop!$E17&lt;&gt;0,0,NSTonghop!G17)</f>
        <v>0</v>
      </c>
      <c r="H17" s="162" t="str">
        <f>IF(NSTonghop!$E17&lt;&gt;0,0,NSTonghop!H17)</f>
        <v>01/09/1977</v>
      </c>
      <c r="I17" s="162">
        <f>IF(NSTonghop!$E17&lt;&gt;0,0,NSTonghop!I17)</f>
        <v>0</v>
      </c>
      <c r="J17" s="162">
        <f>IF(NSTonghop!$E17&lt;&gt;0,0,NSTonghop!J17)</f>
        <v>1977</v>
      </c>
      <c r="K17" s="162">
        <f>IF(NSTonghop!$E17&lt;&gt;0,0,NSTonghop!K17)</f>
        <v>0</v>
      </c>
      <c r="L17" s="162" t="str">
        <f>IF(NSTonghop!$E17&lt;&gt;0,0,NSTonghop!L17)</f>
        <v>PHT</v>
      </c>
      <c r="M17" s="162" t="str">
        <f>IF(NSTonghop!$E17&lt;&gt;0,0,NSTonghop!M17)</f>
        <v>09/03/2017</v>
      </c>
      <c r="N17" s="162" t="str">
        <f>IF(NSTonghop!$E17&lt;&gt;0,0,NSTonghop!N17)</f>
        <v>Cao đài</v>
      </c>
      <c r="O17" s="162" t="str">
        <f>IF(NSTonghop!$E17&lt;&gt;0,0,NSTonghop!O17)</f>
        <v>Nông dân</v>
      </c>
      <c r="P17" s="162" t="str">
        <f>IF(NSTonghop!$E17&lt;&gt;0,0,NSTonghop!P17)</f>
        <v>Mỹ Đức-An Giang</v>
      </c>
      <c r="Q17" s="162" t="str">
        <f>IF(NSTonghop!$E17&lt;&gt;0,0,NSTonghop!Q17)</f>
        <v>Vĩnh Mỹ-Châu Đốc</v>
      </c>
      <c r="R17" s="162" t="str">
        <f>IF(NSTonghop!$E17&lt;&gt;0,0,NSTonghop!R17)</f>
        <v>Mỹ Đức-Châu Phú</v>
      </c>
      <c r="S17" s="162" t="str">
        <f>IF(NSTonghop!$E17&lt;&gt;0,0,NSTonghop!S17)</f>
        <v>PTTH/96/TB</v>
      </c>
      <c r="T17" s="162" t="str">
        <f>IF(NSTonghop!$E17&lt;&gt;0,0,NSTonghop!T17)</f>
        <v>CĐCQ3/TD/99/Khá</v>
      </c>
      <c r="U17" s="162" t="str">
        <f>IF(NSTonghop!$E17&lt;&gt;0,0,NSTonghop!U17)</f>
        <v>ĐHTC/TD/2019/XS</v>
      </c>
      <c r="V17" s="162">
        <f>IF(NSTonghop!$E17&lt;&gt;0,0,NSTonghop!V17)</f>
        <v>0</v>
      </c>
      <c r="W17" s="162" t="str">
        <f>IF(NSTonghop!$E17&lt;&gt;0,0,NSTonghop!W17)</f>
        <v>ĐHTC</v>
      </c>
      <c r="X17" s="162" t="str">
        <f>IF(NSTonghop!$E17&lt;&gt;0,0,NSTonghop!X17)</f>
        <v>TD</v>
      </c>
      <c r="Y17" s="162">
        <f>IF(NSTonghop!$E17&lt;&gt;0,0,NSTonghop!Y17)</f>
        <v>0</v>
      </c>
      <c r="Z17" s="162" t="str">
        <f>IF(NSTonghop!$E17&lt;&gt;0,0,NSTonghop!Z17)</f>
        <v>QLTHCS/18/Khá</v>
      </c>
      <c r="AA17" s="162" t="str">
        <f>IF(NSTonghop!$E17&lt;&gt;0,0,NSTonghop!AA17)</f>
        <v>TC/12/Khá</v>
      </c>
      <c r="AB17" s="162" t="str">
        <f>IF(NSTonghop!$E17&lt;&gt;0,0,NSTonghop!AB17)</f>
        <v>A/07/Giỏi</v>
      </c>
      <c r="AC17" s="162" t="str">
        <f>IF(NSTonghop!$E17&lt;&gt;0,0,NSTonghop!AC17)</f>
        <v>B/Anh/13/Khá</v>
      </c>
      <c r="AD17" s="162">
        <f>IF(NSTonghop!$E17&lt;&gt;0,0,NSTonghop!AD17)</f>
        <v>0</v>
      </c>
      <c r="AE17" s="162" t="str">
        <f>IF(NSTonghop!$E17&lt;&gt;0,0,NSTonghop!AE17)</f>
        <v>NC đàn organ/05</v>
      </c>
      <c r="AF17" s="162">
        <f>IF(NSTonghop!$E17&lt;&gt;0,0,NSTonghop!AF17)</f>
        <v>0</v>
      </c>
      <c r="AG17" s="162" t="str">
        <f>IF(NSTonghop!$E17&lt;&gt;0,0,NSTonghop!AG17)</f>
        <v>V.07.04.12</v>
      </c>
      <c r="AH17" s="162">
        <f>IF(NSTonghop!$E17&lt;&gt;0,0,NSTonghop!AH17)</f>
        <v>0</v>
      </c>
      <c r="AI17" s="162">
        <f>IF(NSTonghop!$E17&lt;&gt;0,0,NSTonghop!AI17)</f>
        <v>5098021778</v>
      </c>
      <c r="AJ17" s="162">
        <f>IF(NSTonghop!$E17&lt;&gt;0,0,NSTonghop!AJ17)</f>
        <v>351768511</v>
      </c>
      <c r="AK17" s="162" t="str">
        <f>IF(NSTonghop!$E17&lt;&gt;0,0,NSTonghop!AK17)</f>
        <v>27/05/2003</v>
      </c>
      <c r="AL17" s="162" t="str">
        <f>IF(NSTonghop!$E17&lt;&gt;0,0,NSTonghop!AL17)</f>
        <v>01/09/1997</v>
      </c>
      <c r="AM17" s="162" t="str">
        <f>IF(NSTonghop!$E17&lt;&gt;0,0,NSTonghop!AM17)</f>
        <v>15/03/2017</v>
      </c>
      <c r="AN17" s="162" t="str">
        <f>IF(NSTonghop!$E17&lt;&gt;0,0,NSTonghop!AN17)</f>
        <v>01/04/2000</v>
      </c>
      <c r="AO17" s="162" t="str">
        <f>IF(NSTonghop!$E17&lt;&gt;0,0,NSTonghop!AO17)</f>
        <v>27/06/2002</v>
      </c>
      <c r="AP17" s="162" t="str">
        <f>IF(NSTonghop!$E17&lt;&gt;0,0,NSTonghop!AP17)</f>
        <v>31.015 016</v>
      </c>
      <c r="AQ17" s="162">
        <f>IF(NSTonghop!$E17&lt;&gt;0,0,NSTonghop!AQ17)</f>
        <v>2002</v>
      </c>
      <c r="AR17" s="162">
        <f>IF(NSTonghop!$E17&lt;&gt;0,0,NSTonghop!AR17)</f>
        <v>0</v>
      </c>
      <c r="AS17" s="162">
        <f>IF(NSTonghop!$E17&lt;&gt;0,0,NSTonghop!AS17)</f>
        <v>0</v>
      </c>
      <c r="AT17" s="162" t="str">
        <f>IF(NSTonghop!$E17&lt;&gt;0,0,NSTonghop!AT17)</f>
        <v>0916271620</v>
      </c>
      <c r="AU17" s="212"/>
    </row>
    <row r="18" spans="1:47" x14ac:dyDescent="0.25">
      <c r="A18" s="220"/>
      <c r="B18" s="162">
        <f>IF(F18&lt;&gt;0,MAX($B$8:B17)+1,"")</f>
        <v>9</v>
      </c>
      <c r="C18" s="163">
        <f>IF(F18=0,0,MAX($C$15:C17)+1)</f>
        <v>4</v>
      </c>
      <c r="D18" s="441">
        <f>IF(NSTonghop!$E18&lt;&gt;0,0,NSTonghop!D18)</f>
        <v>17009</v>
      </c>
      <c r="E18" s="162">
        <f>IF(NSTonghop!E18&lt;&gt;0,0,0)</f>
        <v>0</v>
      </c>
      <c r="F18" s="162" t="str">
        <f>IF(NSTonghop!$E18&lt;&gt;0,0,NSTonghop!F18)</f>
        <v>Nguyễn Thái Bình</v>
      </c>
      <c r="G18" s="162">
        <f>IF(NSTonghop!$E18&lt;&gt;0,0,NSTonghop!G18)</f>
        <v>0</v>
      </c>
      <c r="H18" s="162" t="str">
        <f>IF(NSTonghop!$E18&lt;&gt;0,0,NSTonghop!H18)</f>
        <v>17/06/1979</v>
      </c>
      <c r="I18" s="162">
        <f>IF(NSTonghop!$E18&lt;&gt;0,0,NSTonghop!I18)</f>
        <v>0</v>
      </c>
      <c r="J18" s="162">
        <f>IF(NSTonghop!$E18&lt;&gt;0,0,NSTonghop!J18)</f>
        <v>1979</v>
      </c>
      <c r="K18" s="162">
        <f>IF(NSTonghop!$E18&lt;&gt;0,0,NSTonghop!K18)</f>
        <v>0</v>
      </c>
      <c r="L18" s="162" t="str">
        <f>IF(NSTonghop!$E18&lt;&gt;0,0,NSTonghop!L18)</f>
        <v>GV</v>
      </c>
      <c r="M18" s="162">
        <f>IF(NSTonghop!$E18&lt;&gt;0,0,NSTonghop!M18)</f>
        <v>0</v>
      </c>
      <c r="N18" s="162" t="str">
        <f>IF(NSTonghop!$E18&lt;&gt;0,0,NSTonghop!N18)</f>
        <v>Phật</v>
      </c>
      <c r="O18" s="162" t="str">
        <f>IF(NSTonghop!$E18&lt;&gt;0,0,NSTonghop!O18)</f>
        <v>Tiểu thương</v>
      </c>
      <c r="P18" s="162" t="str">
        <f>IF(NSTonghop!$E18&lt;&gt;0,0,NSTonghop!P18)</f>
        <v>Bình Long-An Giang</v>
      </c>
      <c r="Q18" s="162" t="str">
        <f>IF(NSTonghop!$E18&lt;&gt;0,0,NSTonghop!Q18)</f>
        <v>Bình Long-Châu Phú</v>
      </c>
      <c r="R18" s="162" t="str">
        <f>IF(NSTonghop!$E18&lt;&gt;0,0,NSTonghop!R18)</f>
        <v>82/5 Bình Chánh-Bình Long</v>
      </c>
      <c r="S18" s="162" t="str">
        <f>IF(NSTonghop!$E18&lt;&gt;0,0,NSTonghop!S18)</f>
        <v>PTTH/97/TB</v>
      </c>
      <c r="T18" s="162" t="str">
        <f>IF(NSTonghop!$E18&lt;&gt;0,0,NSTonghop!T18)</f>
        <v>CĐ3/Văn-Sử/01/TB</v>
      </c>
      <c r="U18" s="162" t="str">
        <f>IF(NSTonghop!$E18&lt;&gt;0,0,NSTonghop!U18)</f>
        <v>ĐHTX/Văn/07/TBK</v>
      </c>
      <c r="V18" s="162">
        <f>IF(NSTonghop!$E18&lt;&gt;0,0,NSTonghop!V18)</f>
        <v>0</v>
      </c>
      <c r="W18" s="162" t="str">
        <f>IF(NSTonghop!$E18&lt;&gt;0,0,NSTonghop!W18)</f>
        <v>ĐHTX</v>
      </c>
      <c r="X18" s="162" t="str">
        <f>IF(NSTonghop!$E18&lt;&gt;0,0,NSTonghop!X18)</f>
        <v>Văn</v>
      </c>
      <c r="Y18" s="162">
        <f>IF(NSTonghop!$E18&lt;&gt;0,0,NSTonghop!Y18)</f>
        <v>0</v>
      </c>
      <c r="Z18" s="162">
        <f>IF(NSTonghop!$E18&lt;&gt;0,0,NSTonghop!Z18)</f>
        <v>0</v>
      </c>
      <c r="AA18" s="162" t="str">
        <f>IF(NSTonghop!$E18&lt;&gt;0,0,NSTonghop!AA18)</f>
        <v>SC/18</v>
      </c>
      <c r="AB18" s="162" t="str">
        <f>IF(NSTonghop!$E18&lt;&gt;0,0,NSTonghop!AB18)</f>
        <v>A/04/Khá</v>
      </c>
      <c r="AC18" s="162" t="str">
        <f>IF(NSTonghop!$E18&lt;&gt;0,0,NSTonghop!AC18)</f>
        <v>B/Anh/08/TB</v>
      </c>
      <c r="AD18" s="162">
        <f>IF(NSTonghop!$E18&lt;&gt;0,0,NSTonghop!AD18)</f>
        <v>0</v>
      </c>
      <c r="AE18" s="162">
        <f>IF(NSTonghop!$E18&lt;&gt;0,0,NSTonghop!AE18)</f>
        <v>0</v>
      </c>
      <c r="AF18" s="162">
        <f>IF(NSTonghop!$E18&lt;&gt;0,0,NSTonghop!AF18)</f>
        <v>0</v>
      </c>
      <c r="AG18" s="162" t="str">
        <f>IF(NSTonghop!$E18&lt;&gt;0,0,NSTonghop!AG18)</f>
        <v>V.07.04.11</v>
      </c>
      <c r="AH18" s="162" t="str">
        <f>IF(NSTonghop!$E18&lt;&gt;0,0,NSTonghop!AH18)</f>
        <v>CN/09/TB</v>
      </c>
      <c r="AI18" s="162">
        <f>IF(NSTonghop!$E18&lt;&gt;0,0,NSTonghop!AI18)</f>
        <v>5002002322</v>
      </c>
      <c r="AJ18" s="162">
        <f>IF(NSTonghop!$E18&lt;&gt;0,0,NSTonghop!AJ18)</f>
        <v>351300396</v>
      </c>
      <c r="AK18" s="162" t="str">
        <f>IF(NSTonghop!$E18&lt;&gt;0,0,NSTonghop!AK18)</f>
        <v>06/07/2015</v>
      </c>
      <c r="AL18" s="162" t="str">
        <f>IF(NSTonghop!$E18&lt;&gt;0,0,NSTonghop!AL18)</f>
        <v>01/09/2001</v>
      </c>
      <c r="AM18" s="162" t="str">
        <f>IF(NSTonghop!$E18&lt;&gt;0,0,NSTonghop!AM18)</f>
        <v>07/08/2010</v>
      </c>
      <c r="AN18" s="162" t="str">
        <f>IF(NSTonghop!$E18&lt;&gt;0,0,NSTonghop!AN18)</f>
        <v>01/03/2002</v>
      </c>
      <c r="AO18" s="162" t="str">
        <f>IF(NSTonghop!$E18&lt;&gt;0,0,NSTonghop!AO18)</f>
        <v>27/07/2006</v>
      </c>
      <c r="AP18" s="162" t="str">
        <f>IF(NSTonghop!$E18&lt;&gt;0,0,NSTonghop!AP18)</f>
        <v>31.030 479</v>
      </c>
      <c r="AQ18" s="162">
        <f>IF(NSTonghop!$E18&lt;&gt;0,0,NSTonghop!AQ18)</f>
        <v>2006</v>
      </c>
      <c r="AR18" s="162">
        <f>IF(NSTonghop!$E18&lt;&gt;0,0,NSTonghop!AR18)</f>
        <v>0</v>
      </c>
      <c r="AS18" s="162">
        <f>IF(NSTonghop!$E18&lt;&gt;0,0,NSTonghop!AS18)</f>
        <v>0</v>
      </c>
      <c r="AT18" s="162" t="str">
        <f>IF(NSTonghop!$E18&lt;&gt;0,0,NSTonghop!AT18)</f>
        <v>0919159154</v>
      </c>
      <c r="AU18" s="212"/>
    </row>
    <row r="19" spans="1:47" x14ac:dyDescent="0.25">
      <c r="A19" s="220"/>
      <c r="B19" s="173">
        <f>IF(F19&lt;&gt;0,MAX($B$8:B18)+1,"")</f>
        <v>10</v>
      </c>
      <c r="C19" s="174">
        <f>IF(F19=0,0,MAX($C$15:C18)+1)</f>
        <v>5</v>
      </c>
      <c r="D19" s="442">
        <f>IF(NSTonghop!$E19&lt;&gt;0,0,NSTonghop!D19)</f>
        <v>1222</v>
      </c>
      <c r="E19" s="173">
        <f>IF(NSTonghop!E19&lt;&gt;0,0,0)</f>
        <v>0</v>
      </c>
      <c r="F19" s="173" t="str">
        <f>IF(NSTonghop!$E19&lt;&gt;0,0,NSTonghop!F19)</f>
        <v>Bùi Thông Thái</v>
      </c>
      <c r="G19" s="173">
        <f>IF(NSTonghop!$E19&lt;&gt;0,0,NSTonghop!G19)</f>
        <v>0</v>
      </c>
      <c r="H19" s="173" t="str">
        <f>IF(NSTonghop!$E19&lt;&gt;0,0,NSTonghop!H19)</f>
        <v>22/07/1965</v>
      </c>
      <c r="I19" s="173">
        <f>IF(NSTonghop!$E19&lt;&gt;0,0,NSTonghop!I19)</f>
        <v>0</v>
      </c>
      <c r="J19" s="173">
        <f>IF(NSTonghop!$E19&lt;&gt;0,0,NSTonghop!J19)</f>
        <v>1965</v>
      </c>
      <c r="K19" s="173">
        <f>IF(NSTonghop!$E19&lt;&gt;0,0,NSTonghop!K19)</f>
        <v>0</v>
      </c>
      <c r="L19" s="173" t="str">
        <f>IF(NSTonghop!$E19&lt;&gt;0,0,NSTonghop!L19)</f>
        <v>GV</v>
      </c>
      <c r="M19" s="173">
        <f>IF(NSTonghop!$E19&lt;&gt;0,0,NSTonghop!M19)</f>
        <v>0</v>
      </c>
      <c r="N19" s="173" t="str">
        <f>IF(NSTonghop!$E19&lt;&gt;0,0,NSTonghop!N19)</f>
        <v>Hòa Hảo</v>
      </c>
      <c r="O19" s="173" t="str">
        <f>IF(NSTonghop!$E19&lt;&gt;0,0,NSTonghop!O19)</f>
        <v>Nông dân</v>
      </c>
      <c r="P19" s="173" t="str">
        <f>IF(NSTonghop!$E19&lt;&gt;0,0,NSTonghop!P19)</f>
        <v>Vĩnh Thạnh Trung-AG</v>
      </c>
      <c r="Q19" s="173" t="str">
        <f>IF(NSTonghop!$E19&lt;&gt;0,0,NSTonghop!Q19)</f>
        <v>Vĩnh Thạnh Trung-Châu Phú</v>
      </c>
      <c r="R19" s="173" t="str">
        <f>IF(NSTonghop!$E19&lt;&gt;0,0,NSTonghop!R19)</f>
        <v>146/6 Vĩnh Phú-VTT</v>
      </c>
      <c r="S19" s="173" t="str">
        <f>IF(NSTonghop!$E19&lt;&gt;0,0,NSTonghop!S19)</f>
        <v>PTTH/82/TB</v>
      </c>
      <c r="T19" s="173" t="str">
        <f>IF(NSTonghop!$E19&lt;&gt;0,0,NSTonghop!T19)</f>
        <v>CĐ3/Hóa-Địa/86/TB</v>
      </c>
      <c r="U19" s="173" t="str">
        <f>IF(NSTonghop!$E19&lt;&gt;0,0,NSTonghop!U19)</f>
        <v>ĐHTX/Địa/99/TB</v>
      </c>
      <c r="V19" s="173" t="str">
        <f>IF(NSTonghop!$E19&lt;&gt;0,0,NSTonghop!V19)</f>
        <v>ĐHTX/Hóa/04/Khá</v>
      </c>
      <c r="W19" s="173" t="str">
        <f>IF(NSTonghop!$E19&lt;&gt;0,0,NSTonghop!W19)</f>
        <v>ĐHTX</v>
      </c>
      <c r="X19" s="173" t="str">
        <f>IF(NSTonghop!$E19&lt;&gt;0,0,NSTonghop!X19)</f>
        <v>Hóa</v>
      </c>
      <c r="Y19" s="173" t="str">
        <f>IF(NSTonghop!$E19&lt;&gt;0,0,NSTonghop!Y19)</f>
        <v>Địa</v>
      </c>
      <c r="Z19" s="173" t="str">
        <f>IF(NSTonghop!$E19&lt;&gt;0,0,NSTonghop!Z19)</f>
        <v>QLTH/11/Khá</v>
      </c>
      <c r="AA19" s="173" t="str">
        <f>IF(NSTonghop!$E19&lt;&gt;0,0,NSTonghop!AA19)</f>
        <v>TC/10/TB/TC</v>
      </c>
      <c r="AB19" s="173" t="str">
        <f>IF(NSTonghop!$E19&lt;&gt;0,0,NSTonghop!AB19)</f>
        <v>A/09/Khá</v>
      </c>
      <c r="AC19" s="173">
        <f>IF(NSTonghop!$E19&lt;&gt;0,0,NSTonghop!AC19)</f>
        <v>0</v>
      </c>
      <c r="AD19" s="173">
        <f>IF(NSTonghop!$E19&lt;&gt;0,0,NSTonghop!AD19)</f>
        <v>0</v>
      </c>
      <c r="AE19" s="173">
        <f>IF(NSTonghop!$E19&lt;&gt;0,0,NSTonghop!AE19)</f>
        <v>0</v>
      </c>
      <c r="AF19" s="173">
        <f>IF(NSTonghop!$E19&lt;&gt;0,0,NSTonghop!AF19)</f>
        <v>0</v>
      </c>
      <c r="AG19" s="173" t="str">
        <f>IF(NSTonghop!$E19&lt;&gt;0,0,NSTonghop!AG19)</f>
        <v>V.07.04.11</v>
      </c>
      <c r="AH19" s="173" t="str">
        <f>IF(NSTonghop!$E19&lt;&gt;0,0,NSTonghop!AH19)</f>
        <v xml:space="preserve"> </v>
      </c>
      <c r="AI19" s="173">
        <f>IF(NSTonghop!$E19&lt;&gt;0,0,NSTonghop!AI19)</f>
        <v>5096017199</v>
      </c>
      <c r="AJ19" s="173">
        <f>IF(NSTonghop!$E19&lt;&gt;0,0,NSTonghop!AJ19)</f>
        <v>350654244</v>
      </c>
      <c r="AK19" s="173" t="str">
        <f>IF(NSTonghop!$E19&lt;&gt;0,0,NSTonghop!AK19)</f>
        <v>25/01/2008</v>
      </c>
      <c r="AL19" s="173" t="str">
        <f>IF(NSTonghop!$E19&lt;&gt;0,0,NSTonghop!AL19)</f>
        <v>09/09/1985</v>
      </c>
      <c r="AM19" s="173" t="str">
        <f>IF(NSTonghop!$E19&lt;&gt;0,0,NSTonghop!AM19)</f>
        <v>05/09/1993</v>
      </c>
      <c r="AN19" s="173" t="str">
        <f>IF(NSTonghop!$E19&lt;&gt;0,0,NSTonghop!AN19)</f>
        <v>01/03/1989</v>
      </c>
      <c r="AO19" s="173" t="str">
        <f>IF(NSTonghop!$E19&lt;&gt;0,0,NSTonghop!AO19)</f>
        <v>19/05/2004</v>
      </c>
      <c r="AP19" s="173" t="str">
        <f>IF(NSTonghop!$E19&lt;&gt;0,0,NSTonghop!AP19)</f>
        <v>31.026 220</v>
      </c>
      <c r="AQ19" s="173">
        <f>IF(NSTonghop!$E19&lt;&gt;0,0,NSTonghop!AQ19)</f>
        <v>2004</v>
      </c>
      <c r="AR19" s="173">
        <f>IF(NSTonghop!$E19&lt;&gt;0,0,NSTonghop!AR19)</f>
        <v>0</v>
      </c>
      <c r="AS19" s="173">
        <f>IF(NSTonghop!$E19&lt;&gt;0,0,NSTonghop!AS19)</f>
        <v>0</v>
      </c>
      <c r="AT19" s="173" t="str">
        <f>IF(NSTonghop!$E19&lt;&gt;0,0,NSTonghop!AT19)</f>
        <v>0974417092</v>
      </c>
      <c r="AU19" s="212"/>
    </row>
    <row r="20" spans="1:47" s="118" customFormat="1" x14ac:dyDescent="0.25">
      <c r="A20" s="220"/>
      <c r="B20" s="122">
        <f>IF(F20&lt;&gt;0,MAX($B$8:B19)+1,"")</f>
        <v>11</v>
      </c>
      <c r="C20" s="182">
        <f>IF(F20=0,0,1)</f>
        <v>1</v>
      </c>
      <c r="D20" s="441">
        <f>IF(NSTonghop!$E20&lt;&gt;0,0,NSTonghop!D20)</f>
        <v>15102</v>
      </c>
      <c r="E20" s="122">
        <f>IF(NSTonghop!E20&lt;&gt;0,0,0)</f>
        <v>0</v>
      </c>
      <c r="F20" s="122" t="str">
        <f>IF(NSTonghop!$E20&lt;&gt;0,0,NSTonghop!F20)</f>
        <v>Đỗ Viết Hùng</v>
      </c>
      <c r="G20" s="122">
        <f>IF(NSTonghop!$E20&lt;&gt;0,0,NSTonghop!G20)</f>
        <v>0</v>
      </c>
      <c r="H20" s="122" t="str">
        <f>IF(NSTonghop!$E20&lt;&gt;0,0,NSTonghop!H20)</f>
        <v>19/02/1975</v>
      </c>
      <c r="I20" s="122">
        <f>IF(NSTonghop!$E20&lt;&gt;0,0,NSTonghop!I20)</f>
        <v>0</v>
      </c>
      <c r="J20" s="122">
        <f>IF(NSTonghop!$E20&lt;&gt;0,0,NSTonghop!J20)</f>
        <v>1975</v>
      </c>
      <c r="K20" s="122">
        <f>IF(NSTonghop!$E20&lt;&gt;0,0,NSTonghop!K20)</f>
        <v>0</v>
      </c>
      <c r="L20" s="122" t="str">
        <f>IF(NSTonghop!$E20&lt;&gt;0,0,NSTonghop!L20)</f>
        <v>GV</v>
      </c>
      <c r="M20" s="122">
        <f>IF(NSTonghop!$E20&lt;&gt;0,0,NSTonghop!M20)</f>
        <v>0</v>
      </c>
      <c r="N20" s="122" t="str">
        <f>IF(NSTonghop!$E20&lt;&gt;0,0,NSTonghop!N20)</f>
        <v>Phật</v>
      </c>
      <c r="O20" s="122" t="str">
        <f>IF(NSTonghop!$E20&lt;&gt;0,0,NSTonghop!O20)</f>
        <v>Nông dân</v>
      </c>
      <c r="P20" s="122" t="str">
        <f>IF(NSTonghop!$E20&lt;&gt;0,0,NSTonghop!P20)</f>
        <v>Vĩnh Thạnh Trung-An Giang</v>
      </c>
      <c r="Q20" s="122" t="str">
        <f>IF(NSTonghop!$E20&lt;&gt;0,0,NSTonghop!Q20)</f>
        <v>Cái Dầu-Châu Phú</v>
      </c>
      <c r="R20" s="122" t="str">
        <f>IF(NSTonghop!$E20&lt;&gt;0,0,NSTonghop!R20)</f>
        <v>Bình Hưng-Bình Long</v>
      </c>
      <c r="S20" s="122" t="str">
        <f>IF(NSTonghop!$E20&lt;&gt;0,0,NSTonghop!S20)</f>
        <v>PTTH/91/Khá</v>
      </c>
      <c r="T20" s="122" t="str">
        <f>IF(NSTonghop!$E20&lt;&gt;0,0,NSTonghop!T20)</f>
        <v>CĐ3/Văn/98/TB</v>
      </c>
      <c r="U20" s="122" t="str">
        <f>IF(NSTonghop!$E20&lt;&gt;0,0,NSTonghop!U20)</f>
        <v>ĐHTX/Văn/05/TBK</v>
      </c>
      <c r="V20" s="122" t="str">
        <f>IF(NSTonghop!$E20&lt;&gt;0,0,NSTonghop!V20)</f>
        <v>QLSREM/09</v>
      </c>
      <c r="W20" s="122" t="str">
        <f>IF(NSTonghop!$E20&lt;&gt;0,0,NSTonghop!W20)</f>
        <v>ĐHTX</v>
      </c>
      <c r="X20" s="122" t="str">
        <f>IF(NSTonghop!$E20&lt;&gt;0,0,NSTonghop!X20)</f>
        <v>Văn</v>
      </c>
      <c r="Y20" s="122" t="str">
        <f>IF(NSTonghop!$E20&lt;&gt;0,0,NSTonghop!Y20)</f>
        <v>Văn</v>
      </c>
      <c r="Z20" s="122" t="str">
        <f>IF(NSTonghop!$E20&lt;&gt;0,0,NSTonghop!Z20)</f>
        <v>QLTHCS/05/Khá</v>
      </c>
      <c r="AA20" s="122">
        <f>IF(NSTonghop!$E20&lt;&gt;0,0,NSTonghop!AA20)</f>
        <v>0</v>
      </c>
      <c r="AB20" s="122" t="str">
        <f>IF(NSTonghop!$E20&lt;&gt;0,0,NSTonghop!AB20)</f>
        <v>A/07/Giỏi</v>
      </c>
      <c r="AC20" s="122">
        <f>IF(NSTonghop!$E20&lt;&gt;0,0,NSTonghop!AC20)</f>
        <v>0</v>
      </c>
      <c r="AD20" s="122" t="str">
        <f>IF(NSTonghop!$E20&lt;&gt;0,0,NSTonghop!AD20)</f>
        <v>KĐCL/10</v>
      </c>
      <c r="AE20" s="122" t="str">
        <f>IF(NSTonghop!$E20&lt;&gt;0,0,NSTonghop!AE20)</f>
        <v>NLQLTC/09</v>
      </c>
      <c r="AF20" s="122">
        <f>IF(NSTonghop!$E20&lt;&gt;0,0,NSTonghop!AF20)</f>
        <v>0</v>
      </c>
      <c r="AG20" s="122" t="str">
        <f>IF(NSTonghop!$E20&lt;&gt;0,0,NSTonghop!AG20)</f>
        <v>V.07.04.11</v>
      </c>
      <c r="AH20" s="122" t="str">
        <f>IF(NSTonghop!$E20&lt;&gt;0,0,NSTonghop!AH20)</f>
        <v>CC/08/Giỏi</v>
      </c>
      <c r="AI20" s="122">
        <f>IF(NSTonghop!$E20&lt;&gt;0,0,NSTonghop!AI20)</f>
        <v>5099029905</v>
      </c>
      <c r="AJ20" s="122">
        <f>IF(NSTonghop!$E20&lt;&gt;0,0,NSTonghop!AJ20)</f>
        <v>351079520</v>
      </c>
      <c r="AK20" s="122" t="str">
        <f>IF(NSTonghop!$E20&lt;&gt;0,0,NSTonghop!AK20)</f>
        <v>09/12/1979</v>
      </c>
      <c r="AL20" s="122" t="str">
        <f>IF(NSTonghop!$E20&lt;&gt;0,0,NSTonghop!AL20)</f>
        <v>01/09/1998</v>
      </c>
      <c r="AM20" s="122" t="str">
        <f>IF(NSTonghop!$E20&lt;&gt;0,0,NSTonghop!AM20)</f>
        <v>21/08/2011</v>
      </c>
      <c r="AN20" s="122" t="str">
        <f>IF(NSTonghop!$E20&lt;&gt;0,0,NSTonghop!AN20)</f>
        <v>01/03/1999</v>
      </c>
      <c r="AO20" s="122" t="str">
        <f>IF(NSTonghop!$E20&lt;&gt;0,0,NSTonghop!AO20)</f>
        <v>17/05/2003</v>
      </c>
      <c r="AP20" s="122" t="str">
        <f>IF(NSTonghop!$E20&lt;&gt;0,0,NSTonghop!AP20)</f>
        <v>31.016 063</v>
      </c>
      <c r="AQ20" s="122">
        <f>IF(NSTonghop!$E20&lt;&gt;0,0,NSTonghop!AQ20)</f>
        <v>2003</v>
      </c>
      <c r="AR20" s="122">
        <f>IF(NSTonghop!$E20&lt;&gt;0,0,NSTonghop!AR20)</f>
        <v>0</v>
      </c>
      <c r="AS20" s="122">
        <f>IF(NSTonghop!$E20&lt;&gt;0,0,NSTonghop!AS20)</f>
        <v>0</v>
      </c>
      <c r="AT20" s="122" t="str">
        <f>IF(NSTonghop!$E20&lt;&gt;0,0,NSTonghop!AT20)</f>
        <v>0982224133</v>
      </c>
      <c r="AU20" s="212"/>
    </row>
    <row r="21" spans="1:47" s="118" customFormat="1" x14ac:dyDescent="0.25">
      <c r="A21" s="220"/>
      <c r="B21" s="128">
        <f>IF(F21&lt;&gt;0,MAX($B$8:B20)+1,"")</f>
        <v>12</v>
      </c>
      <c r="C21" s="132">
        <f>IF(F21=0,0,MAX($C$20:C20)+1)</f>
        <v>2</v>
      </c>
      <c r="D21" s="441">
        <f>IF(NSTonghop!$E21&lt;&gt;0,0,NSTonghop!D21)</f>
        <v>28145</v>
      </c>
      <c r="E21" s="128">
        <f>IF(NSTonghop!E21&lt;&gt;0,0,0)</f>
        <v>0</v>
      </c>
      <c r="F21" s="128" t="str">
        <f>IF(NSTonghop!$E21&lt;&gt;0,0,NSTonghop!F21)</f>
        <v>Phạm Thị Thanh Loan</v>
      </c>
      <c r="G21" s="128" t="str">
        <f>IF(NSTonghop!$E21&lt;&gt;0,0,NSTonghop!G21)</f>
        <v>x</v>
      </c>
      <c r="H21" s="128">
        <f>IF(NSTonghop!$E21&lt;&gt;0,0,NSTonghop!H21)</f>
        <v>0</v>
      </c>
      <c r="I21" s="128" t="str">
        <f>IF(NSTonghop!$E21&lt;&gt;0,0,NSTonghop!I21)</f>
        <v>10/11/1983</v>
      </c>
      <c r="J21" s="128">
        <f>IF(NSTonghop!$E21&lt;&gt;0,0,NSTonghop!J21)</f>
        <v>0</v>
      </c>
      <c r="K21" s="128">
        <f>IF(NSTonghop!$E21&lt;&gt;0,0,NSTonghop!K21)</f>
        <v>1983</v>
      </c>
      <c r="L21" s="128" t="str">
        <f>IF(NSTonghop!$E21&lt;&gt;0,0,NSTonghop!L21)</f>
        <v>GV</v>
      </c>
      <c r="M21" s="128">
        <f>IF(NSTonghop!$E21&lt;&gt;0,0,NSTonghop!M21)</f>
        <v>0</v>
      </c>
      <c r="N21" s="128" t="str">
        <f>IF(NSTonghop!$E21&lt;&gt;0,0,NSTonghop!N21)</f>
        <v>Phật</v>
      </c>
      <c r="O21" s="128" t="str">
        <f>IF(NSTonghop!$E21&lt;&gt;0,0,NSTonghop!O21)</f>
        <v>Nông dân</v>
      </c>
      <c r="P21" s="128" t="str">
        <f>IF(NSTonghop!$E21&lt;&gt;0,0,NSTonghop!P21)</f>
        <v>Bình Mỹ-An Giang</v>
      </c>
      <c r="Q21" s="128" t="str">
        <f>IF(NSTonghop!$E21&lt;&gt;0,0,NSTonghop!Q21)</f>
        <v>Bình Mỹ-Châu Phú</v>
      </c>
      <c r="R21" s="128" t="str">
        <f>IF(NSTonghop!$E21&lt;&gt;0,0,NSTonghop!R21)</f>
        <v>Vĩnh Quới-VTT</v>
      </c>
      <c r="S21" s="128" t="str">
        <f>IF(NSTonghop!$E21&lt;&gt;0,0,NSTonghop!S21)</f>
        <v>PTTH/01/TB</v>
      </c>
      <c r="T21" s="128" t="str">
        <f>IF(NSTonghop!$E21&lt;&gt;0,0,NSTonghop!T21)</f>
        <v>CĐ3/Văn-Sử/05/Giỏi</v>
      </c>
      <c r="U21" s="128" t="str">
        <f>IF(NSTonghop!$E21&lt;&gt;0,0,NSTonghop!U21)</f>
        <v>ĐHTX/Văn/10/TBK</v>
      </c>
      <c r="V21" s="128">
        <f>IF(NSTonghop!$E21&lt;&gt;0,0,NSTonghop!V21)</f>
        <v>0</v>
      </c>
      <c r="W21" s="128" t="str">
        <f>IF(NSTonghop!$E21&lt;&gt;0,0,NSTonghop!W21)</f>
        <v>ĐHTX</v>
      </c>
      <c r="X21" s="128" t="str">
        <f>IF(NSTonghop!$E21&lt;&gt;0,0,NSTonghop!X21)</f>
        <v>Văn</v>
      </c>
      <c r="Y21" s="128" t="str">
        <f>IF(NSTonghop!$E21&lt;&gt;0,0,NSTonghop!Y21)</f>
        <v>Văn</v>
      </c>
      <c r="Z21" s="128">
        <f>IF(NSTonghop!$E21&lt;&gt;0,0,NSTonghop!Z21)</f>
        <v>0</v>
      </c>
      <c r="AA21" s="128" t="str">
        <f>IF(NSTonghop!$E21&lt;&gt;0,0,NSTonghop!AA21)</f>
        <v>SC/16</v>
      </c>
      <c r="AB21" s="128" t="str">
        <f>IF(NSTonghop!$E21&lt;&gt;0,0,NSTonghop!AB21)</f>
        <v>A/07/Giỏi</v>
      </c>
      <c r="AC21" s="128">
        <f>IF(NSTonghop!$E21&lt;&gt;0,0,NSTonghop!AC21)</f>
        <v>0</v>
      </c>
      <c r="AD21" s="128">
        <f>IF(NSTonghop!$E21&lt;&gt;0,0,NSTonghop!AD21)</f>
        <v>0</v>
      </c>
      <c r="AE21" s="128">
        <f>IF(NSTonghop!$E21&lt;&gt;0,0,NSTonghop!AE21)</f>
        <v>0</v>
      </c>
      <c r="AF21" s="128">
        <f>IF(NSTonghop!$E21&lt;&gt;0,0,NSTonghop!AF21)</f>
        <v>0</v>
      </c>
      <c r="AG21" s="128" t="str">
        <f>IF(NSTonghop!$E21&lt;&gt;0,0,NSTonghop!AG21)</f>
        <v>V.07.04.11</v>
      </c>
      <c r="AH21" s="128" t="str">
        <f>IF(NSTonghop!$E21&lt;&gt;0,0,NSTonghop!AH21)</f>
        <v>CC/14/Giỏi</v>
      </c>
      <c r="AI21" s="128">
        <f>IF(NSTonghop!$E21&lt;&gt;0,0,NSTonghop!AI21)</f>
        <v>5006000414</v>
      </c>
      <c r="AJ21" s="128">
        <f>IF(NSTonghop!$E21&lt;&gt;0,0,NSTonghop!AJ21)</f>
        <v>351577831</v>
      </c>
      <c r="AK21" s="128" t="str">
        <f>IF(NSTonghop!$E21&lt;&gt;0,0,NSTonghop!AK21)</f>
        <v>16/08/2010</v>
      </c>
      <c r="AL21" s="128" t="str">
        <f>IF(NSTonghop!$E21&lt;&gt;0,0,NSTonghop!AL21)</f>
        <v>01/09/2005</v>
      </c>
      <c r="AM21" s="128" t="str">
        <f>IF(NSTonghop!$E21&lt;&gt;0,0,NSTonghop!AM21)</f>
        <v>07/07/2014</v>
      </c>
      <c r="AN21" s="128" t="str">
        <f>IF(NSTonghop!$E21&lt;&gt;0,0,NSTonghop!AN21)</f>
        <v>01/09/2006</v>
      </c>
      <c r="AO21" s="128" t="str">
        <f>IF(NSTonghop!$E21&lt;&gt;0,0,NSTonghop!AO21)</f>
        <v>04/07/2008</v>
      </c>
      <c r="AP21" s="128" t="str">
        <f>IF(NSTonghop!$E21&lt;&gt;0,0,NSTonghop!AP21)</f>
        <v>31.038 051</v>
      </c>
      <c r="AQ21" s="128">
        <f>IF(NSTonghop!$E21&lt;&gt;0,0,NSTonghop!AQ21)</f>
        <v>2008</v>
      </c>
      <c r="AR21" s="128">
        <f>IF(NSTonghop!$E21&lt;&gt;0,0,NSTonghop!AR21)</f>
        <v>0</v>
      </c>
      <c r="AS21" s="128">
        <f>IF(NSTonghop!$E21&lt;&gt;0,0,NSTonghop!AS21)</f>
        <v>0</v>
      </c>
      <c r="AT21" s="128" t="str">
        <f>IF(NSTonghop!$E21&lt;&gt;0,0,NSTonghop!AT21)</f>
        <v>0398066414</v>
      </c>
      <c r="AU21" s="212"/>
    </row>
    <row r="22" spans="1:47" s="118" customFormat="1" x14ac:dyDescent="0.25">
      <c r="A22" s="220"/>
      <c r="B22" s="128">
        <f>IF(F22&lt;&gt;0,MAX($B$8:B21)+1,"")</f>
        <v>13</v>
      </c>
      <c r="C22" s="132">
        <f>IF(F22=0,0,MAX($C$20:C21)+1)</f>
        <v>3</v>
      </c>
      <c r="D22" s="441">
        <f>IF(NSTonghop!$E22&lt;&gt;0,0,NSTonghop!D22)</f>
        <v>27865</v>
      </c>
      <c r="E22" s="128">
        <f>IF(NSTonghop!E22&lt;&gt;0,0,0)</f>
        <v>0</v>
      </c>
      <c r="F22" s="128" t="str">
        <f>IF(NSTonghop!$E22&lt;&gt;0,0,NSTonghop!F22)</f>
        <v>Huỳnh Thanh Sơn</v>
      </c>
      <c r="G22" s="128">
        <f>IF(NSTonghop!$E22&lt;&gt;0,0,NSTonghop!G22)</f>
        <v>0</v>
      </c>
      <c r="H22" s="128" t="str">
        <f>IF(NSTonghop!$E22&lt;&gt;0,0,NSTonghop!H22)</f>
        <v>12/04/1982</v>
      </c>
      <c r="I22" s="128">
        <f>IF(NSTonghop!$E22&lt;&gt;0,0,NSTonghop!I22)</f>
        <v>0</v>
      </c>
      <c r="J22" s="128">
        <f>IF(NSTonghop!$E22&lt;&gt;0,0,NSTonghop!J22)</f>
        <v>1982</v>
      </c>
      <c r="K22" s="128">
        <f>IF(NSTonghop!$E22&lt;&gt;0,0,NSTonghop!K22)</f>
        <v>0</v>
      </c>
      <c r="L22" s="128" t="str">
        <f>IF(NSTonghop!$E22&lt;&gt;0,0,NSTonghop!L22)</f>
        <v>GV</v>
      </c>
      <c r="M22" s="128">
        <f>IF(NSTonghop!$E22&lt;&gt;0,0,NSTonghop!M22)</f>
        <v>0</v>
      </c>
      <c r="N22" s="128" t="str">
        <f>IF(NSTonghop!$E22&lt;&gt;0,0,NSTonghop!N22)</f>
        <v>Phật</v>
      </c>
      <c r="O22" s="128" t="str">
        <f>IF(NSTonghop!$E22&lt;&gt;0,0,NSTonghop!O22)</f>
        <v>Nông dân</v>
      </c>
      <c r="P22" s="128" t="str">
        <f>IF(NSTonghop!$E22&lt;&gt;0,0,NSTonghop!P22)</f>
        <v>Bình Long-An Giang</v>
      </c>
      <c r="Q22" s="128" t="str">
        <f>IF(NSTonghop!$E22&lt;&gt;0,0,NSTonghop!Q22)</f>
        <v>Bình Long-Châu Phú</v>
      </c>
      <c r="R22" s="128" t="str">
        <f>IF(NSTonghop!$E22&lt;&gt;0,0,NSTonghop!R22)</f>
        <v>703/28 Chánh Hưng-Bình Long</v>
      </c>
      <c r="S22" s="128" t="str">
        <f>IF(NSTonghop!$E22&lt;&gt;0,0,NSTonghop!S22)</f>
        <v>PTTH/00/TB</v>
      </c>
      <c r="T22" s="128" t="str">
        <f>IF(NSTonghop!$E22&lt;&gt;0,0,NSTonghop!T22)</f>
        <v>ĐHCQ/Văn/04/TB</v>
      </c>
      <c r="U22" s="128">
        <f>IF(NSTonghop!$E22&lt;&gt;0,0,NSTonghop!U22)</f>
        <v>0</v>
      </c>
      <c r="V22" s="128">
        <f>IF(NSTonghop!$E22&lt;&gt;0,0,NSTonghop!V22)</f>
        <v>0</v>
      </c>
      <c r="W22" s="128" t="str">
        <f>IF(NSTonghop!$E22&lt;&gt;0,0,NSTonghop!W22)</f>
        <v>ĐHCQ</v>
      </c>
      <c r="X22" s="128" t="str">
        <f>IF(NSTonghop!$E22&lt;&gt;0,0,NSTonghop!X22)</f>
        <v>Văn</v>
      </c>
      <c r="Y22" s="128" t="str">
        <f>IF(NSTonghop!$E22&lt;&gt;0,0,NSTonghop!Y22)</f>
        <v>Văn</v>
      </c>
      <c r="Z22" s="128" t="str">
        <f>IF(NSTonghop!$E22&lt;&gt;0,0,NSTonghop!Z22)</f>
        <v>QLPT/14/Khá</v>
      </c>
      <c r="AA22" s="128" t="str">
        <f>IF(NSTonghop!$E22&lt;&gt;0,0,NSTonghop!AA22)</f>
        <v>SC/14/Khá</v>
      </c>
      <c r="AB22" s="128" t="str">
        <f>IF(NSTonghop!$E22&lt;&gt;0,0,NSTonghop!AB22)</f>
        <v>A/08/Giỏi</v>
      </c>
      <c r="AC22" s="128">
        <f>IF(NSTonghop!$E22&lt;&gt;0,0,NSTonghop!AC22)</f>
        <v>0</v>
      </c>
      <c r="AD22" s="128">
        <f>IF(NSTonghop!$E22&lt;&gt;0,0,NSTonghop!AD22)</f>
        <v>0</v>
      </c>
      <c r="AE22" s="128">
        <f>IF(NSTonghop!$E22&lt;&gt;0,0,NSTonghop!AE22)</f>
        <v>0</v>
      </c>
      <c r="AF22" s="128" t="str">
        <f>IF(NSTonghop!$E22&lt;&gt;0,0,NSTonghop!AF22)</f>
        <v>BTCB/12/TB</v>
      </c>
      <c r="AG22" s="128" t="str">
        <f>IF(NSTonghop!$E22&lt;&gt;0,0,NSTonghop!AG22)</f>
        <v>V.07.04.11</v>
      </c>
      <c r="AH22" s="128" t="str">
        <f>IF(NSTonghop!$E22&lt;&gt;0,0,NSTonghop!AH22)</f>
        <v>CN/06/TB</v>
      </c>
      <c r="AI22" s="128">
        <f>IF(NSTonghop!$E22&lt;&gt;0,0,NSTonghop!AI22)</f>
        <v>5006003481</v>
      </c>
      <c r="AJ22" s="128">
        <f>IF(NSTonghop!$E22&lt;&gt;0,0,NSTonghop!AJ22)</f>
        <v>351423247</v>
      </c>
      <c r="AK22" s="128" t="str">
        <f>IF(NSTonghop!$E22&lt;&gt;0,0,NSTonghop!AK22)</f>
        <v>05/09/2007</v>
      </c>
      <c r="AL22" s="128" t="str">
        <f>IF(NSTonghop!$E22&lt;&gt;0,0,NSTonghop!AL22)</f>
        <v>01/09/2005</v>
      </c>
      <c r="AM22" s="128" t="str">
        <f>IF(NSTonghop!$E22&lt;&gt;0,0,NSTonghop!AM22)</f>
        <v>01/09/2005</v>
      </c>
      <c r="AN22" s="128" t="str">
        <f>IF(NSTonghop!$E22&lt;&gt;0,0,NSTonghop!AN22)</f>
        <v>01/09/2006</v>
      </c>
      <c r="AO22" s="128" t="str">
        <f>IF(NSTonghop!$E22&lt;&gt;0,0,NSTonghop!AO22)</f>
        <v>30/04/2008</v>
      </c>
      <c r="AP22" s="128" t="str">
        <f>IF(NSTonghop!$E22&lt;&gt;0,0,NSTonghop!AP22)</f>
        <v>31.037 816</v>
      </c>
      <c r="AQ22" s="128">
        <f>IF(NSTonghop!$E22&lt;&gt;0,0,NSTonghop!AQ22)</f>
        <v>2008</v>
      </c>
      <c r="AR22" s="128">
        <f>IF(NSTonghop!$E22&lt;&gt;0,0,NSTonghop!AR22)</f>
        <v>0</v>
      </c>
      <c r="AS22" s="128">
        <f>IF(NSTonghop!$E22&lt;&gt;0,0,NSTonghop!AS22)</f>
        <v>0</v>
      </c>
      <c r="AT22" s="128" t="str">
        <f>IF(NSTonghop!$E22&lt;&gt;0,0,NSTonghop!AT22)</f>
        <v>0816789379</v>
      </c>
      <c r="AU22" s="212"/>
    </row>
    <row r="23" spans="1:47" s="118" customFormat="1" x14ac:dyDescent="0.25">
      <c r="A23" s="220"/>
      <c r="B23" s="128">
        <f>IF(F23&lt;&gt;0,MAX($B$8:B22)+1,"")</f>
        <v>14</v>
      </c>
      <c r="C23" s="132">
        <f>IF(F23=0,0,MAX($C$20:C22)+1)</f>
        <v>4</v>
      </c>
      <c r="D23" s="441">
        <f>IF(NSTonghop!$E23&lt;&gt;0,0,NSTonghop!D23)</f>
        <v>30084</v>
      </c>
      <c r="E23" s="128">
        <f>IF(NSTonghop!E23&lt;&gt;0,0,0)</f>
        <v>0</v>
      </c>
      <c r="F23" s="128" t="str">
        <f>IF(NSTonghop!$E23&lt;&gt;0,0,NSTonghop!F23)</f>
        <v>Nguyễn Thị Phương</v>
      </c>
      <c r="G23" s="128" t="str">
        <f>IF(NSTonghop!$E23&lt;&gt;0,0,NSTonghop!G23)</f>
        <v>x</v>
      </c>
      <c r="H23" s="128">
        <f>IF(NSTonghop!$E23&lt;&gt;0,0,NSTonghop!H23)</f>
        <v>0</v>
      </c>
      <c r="I23" s="128" t="str">
        <f>IF(NSTonghop!$E23&lt;&gt;0,0,NSTonghop!I23)</f>
        <v>15/07/1981</v>
      </c>
      <c r="J23" s="128">
        <f>IF(NSTonghop!$E23&lt;&gt;0,0,NSTonghop!J23)</f>
        <v>0</v>
      </c>
      <c r="K23" s="128">
        <f>IF(NSTonghop!$E23&lt;&gt;0,0,NSTonghop!K23)</f>
        <v>1981</v>
      </c>
      <c r="L23" s="128" t="str">
        <f>IF(NSTonghop!$E23&lt;&gt;0,0,NSTonghop!L23)</f>
        <v>GV</v>
      </c>
      <c r="M23" s="128">
        <f>IF(NSTonghop!$E23&lt;&gt;0,0,NSTonghop!M23)</f>
        <v>0</v>
      </c>
      <c r="N23" s="128" t="str">
        <f>IF(NSTonghop!$E23&lt;&gt;0,0,NSTonghop!N23)</f>
        <v>Phật</v>
      </c>
      <c r="O23" s="128" t="str">
        <f>IF(NSTonghop!$E23&lt;&gt;0,0,NSTonghop!O23)</f>
        <v>Nông dân</v>
      </c>
      <c r="P23" s="128" t="str">
        <f>IF(NSTonghop!$E23&lt;&gt;0,0,NSTonghop!P23)</f>
        <v>Đào Hữu Cảnh-AG</v>
      </c>
      <c r="Q23" s="128" t="str">
        <f>IF(NSTonghop!$E23&lt;&gt;0,0,NSTonghop!Q23)</f>
        <v>Thạnh Mỹ Tây-Châu Phú</v>
      </c>
      <c r="R23" s="128" t="str">
        <f>IF(NSTonghop!$E23&lt;&gt;0,0,NSTonghop!R23)</f>
        <v>17 Vĩnh Hưng-VTT</v>
      </c>
      <c r="S23" s="128" t="str">
        <f>IF(NSTonghop!$E23&lt;&gt;0,0,NSTonghop!S23)</f>
        <v>PTTH/02/TB</v>
      </c>
      <c r="T23" s="128" t="str">
        <f>IF(NSTonghop!$E23&lt;&gt;0,0,NSTonghop!T23)</f>
        <v>CĐ3/Văn-GDCD/06/TBK</v>
      </c>
      <c r="U23" s="128" t="str">
        <f>IF(NSTonghop!$E23&lt;&gt;0,0,NSTonghop!U23)</f>
        <v>ĐHTX/Văn/10/TBK</v>
      </c>
      <c r="V23" s="128">
        <f>IF(NSTonghop!$E23&lt;&gt;0,0,NSTonghop!V23)</f>
        <v>0</v>
      </c>
      <c r="W23" s="128" t="str">
        <f>IF(NSTonghop!$E23&lt;&gt;0,0,NSTonghop!W23)</f>
        <v>ĐHTX</v>
      </c>
      <c r="X23" s="128" t="str">
        <f>IF(NSTonghop!$E23&lt;&gt;0,0,NSTonghop!X23)</f>
        <v>Văn</v>
      </c>
      <c r="Y23" s="128" t="str">
        <f>IF(NSTonghop!$E23&lt;&gt;0,0,NSTonghop!Y23)</f>
        <v>Văn</v>
      </c>
      <c r="Z23" s="128">
        <f>IF(NSTonghop!$E23&lt;&gt;0,0,NSTonghop!Z23)</f>
        <v>0</v>
      </c>
      <c r="AA23" s="128">
        <f>IF(NSTonghop!$E23&lt;&gt;0,0,NSTonghop!AA23)</f>
        <v>0</v>
      </c>
      <c r="AB23" s="128" t="str">
        <f>IF(NSTonghop!$E23&lt;&gt;0,0,NSTonghop!AB23)</f>
        <v>A/08/Khá</v>
      </c>
      <c r="AC23" s="128">
        <f>IF(NSTonghop!$E23&lt;&gt;0,0,NSTonghop!AC23)</f>
        <v>0</v>
      </c>
      <c r="AD23" s="128">
        <f>IF(NSTonghop!$E23&lt;&gt;0,0,NSTonghop!AD23)</f>
        <v>0</v>
      </c>
      <c r="AE23" s="128">
        <f>IF(NSTonghop!$E23&lt;&gt;0,0,NSTonghop!AE23)</f>
        <v>0</v>
      </c>
      <c r="AF23" s="128">
        <f>IF(NSTonghop!$E23&lt;&gt;0,0,NSTonghop!AF23)</f>
        <v>0</v>
      </c>
      <c r="AG23" s="128" t="str">
        <f>IF(NSTonghop!$E23&lt;&gt;0,0,NSTonghop!AG23)</f>
        <v>V.07.04.11</v>
      </c>
      <c r="AH23" s="128" t="str">
        <f>IF(NSTonghop!$E23&lt;&gt;0,0,NSTonghop!AH23)</f>
        <v>CC/13/Khá</v>
      </c>
      <c r="AI23" s="128">
        <f>IF(NSTonghop!$E23&lt;&gt;0,0,NSTonghop!AI23)</f>
        <v>8908006813</v>
      </c>
      <c r="AJ23" s="128">
        <f>IF(NSTonghop!$E23&lt;&gt;0,0,NSTonghop!AJ23)</f>
        <v>351436415</v>
      </c>
      <c r="AK23" s="128" t="str">
        <f>IF(NSTonghop!$E23&lt;&gt;0,0,NSTonghop!AK23)</f>
        <v>26/09/2011</v>
      </c>
      <c r="AL23" s="128" t="str">
        <f>IF(NSTonghop!$E23&lt;&gt;0,0,NSTonghop!AL23)</f>
        <v>01/09/2006</v>
      </c>
      <c r="AM23" s="128" t="str">
        <f>IF(NSTonghop!$E23&lt;&gt;0,0,NSTonghop!AM23)</f>
        <v>01/09/2006</v>
      </c>
      <c r="AN23" s="128" t="str">
        <f>IF(NSTonghop!$E23&lt;&gt;0,0,NSTonghop!AN23)</f>
        <v>01/09/2007</v>
      </c>
      <c r="AO23" s="128" t="str">
        <f>IF(NSTonghop!$E23&lt;&gt;0,0,NSTonghop!AO23)</f>
        <v>23/12/2011</v>
      </c>
      <c r="AP23" s="128" t="str">
        <f>IF(NSTonghop!$E23&lt;&gt;0,0,NSTonghop!AP23)</f>
        <v>31.049 661</v>
      </c>
      <c r="AQ23" s="128">
        <f>IF(NSTonghop!$E23&lt;&gt;0,0,NSTonghop!AQ23)</f>
        <v>2011</v>
      </c>
      <c r="AR23" s="128">
        <f>IF(NSTonghop!$E23&lt;&gt;0,0,NSTonghop!AR23)</f>
        <v>0</v>
      </c>
      <c r="AS23" s="128">
        <f>IF(NSTonghop!$E23&lt;&gt;0,0,NSTonghop!AS23)</f>
        <v>0</v>
      </c>
      <c r="AT23" s="128" t="str">
        <f>IF(NSTonghop!$E23&lt;&gt;0,0,NSTonghop!AT23)</f>
        <v>0967666805</v>
      </c>
      <c r="AU23" s="212"/>
    </row>
    <row r="24" spans="1:47" s="118" customFormat="1" x14ac:dyDescent="0.25">
      <c r="A24" s="220"/>
      <c r="B24" s="128">
        <f>IF(F24&lt;&gt;0,MAX($B$8:B23)+1,"")</f>
        <v>15</v>
      </c>
      <c r="C24" s="132">
        <f>IF(F24=0,0,MAX($C$20:C23)+1)</f>
        <v>5</v>
      </c>
      <c r="D24" s="441">
        <f>IF(NSTonghop!$E24&lt;&gt;0,0,NSTonghop!D24)</f>
        <v>25188</v>
      </c>
      <c r="E24" s="128">
        <f>IF(NSTonghop!E24&lt;&gt;0,0,0)</f>
        <v>0</v>
      </c>
      <c r="F24" s="128" t="str">
        <f>IF(NSTonghop!$E24&lt;&gt;0,0,NSTonghop!F24)</f>
        <v>Thiều Thị Kim Tuyến</v>
      </c>
      <c r="G24" s="128" t="str">
        <f>IF(NSTonghop!$E24&lt;&gt;0,0,NSTonghop!G24)</f>
        <v>x</v>
      </c>
      <c r="H24" s="128">
        <f>IF(NSTonghop!$E24&lt;&gt;0,0,NSTonghop!H24)</f>
        <v>0</v>
      </c>
      <c r="I24" s="128" t="str">
        <f>IF(NSTonghop!$E24&lt;&gt;0,0,NSTonghop!I24)</f>
        <v>04/09/1983</v>
      </c>
      <c r="J24" s="128">
        <f>IF(NSTonghop!$E24&lt;&gt;0,0,NSTonghop!J24)</f>
        <v>0</v>
      </c>
      <c r="K24" s="128">
        <f>IF(NSTonghop!$E24&lt;&gt;0,0,NSTonghop!K24)</f>
        <v>1983</v>
      </c>
      <c r="L24" s="128" t="str">
        <f>IF(NSTonghop!$E24&lt;&gt;0,0,NSTonghop!L24)</f>
        <v>GV</v>
      </c>
      <c r="M24" s="128">
        <f>IF(NSTonghop!$E24&lt;&gt;0,0,NSTonghop!M24)</f>
        <v>0</v>
      </c>
      <c r="N24" s="128" t="str">
        <f>IF(NSTonghop!$E24&lt;&gt;0,0,NSTonghop!N24)</f>
        <v>x</v>
      </c>
      <c r="O24" s="128" t="str">
        <f>IF(NSTonghop!$E24&lt;&gt;0,0,NSTonghop!O24)</f>
        <v>Trí thức</v>
      </c>
      <c r="P24" s="128" t="str">
        <f>IF(NSTonghop!$E24&lt;&gt;0,0,NSTonghop!P24)</f>
        <v>Vĩnh Thạnh Trung-An Giang</v>
      </c>
      <c r="Q24" s="128" t="str">
        <f>IF(NSTonghop!$E24&lt;&gt;0,0,NSTonghop!Q24)</f>
        <v>Vĩnh Thạnh Trung-Châu Phú</v>
      </c>
      <c r="R24" s="128" t="str">
        <f>IF(NSTonghop!$E24&lt;&gt;0,0,NSTonghop!R24)</f>
        <v>95/3 Vĩnh Hưng-VTT</v>
      </c>
      <c r="S24" s="128" t="str">
        <f>IF(NSTonghop!$E24&lt;&gt;0,0,NSTonghop!S24)</f>
        <v>PTTH/01/TB</v>
      </c>
      <c r="T24" s="128" t="str">
        <f>IF(NSTonghop!$E24&lt;&gt;0,0,NSTonghop!T24)</f>
        <v>CĐ3/Văn-Sử/04/Giỏi</v>
      </c>
      <c r="U24" s="128" t="str">
        <f>IF(NSTonghop!$E24&lt;&gt;0,0,NSTonghop!U24)</f>
        <v>ĐHTX/Văn/08/TBK</v>
      </c>
      <c r="V24" s="128">
        <f>IF(NSTonghop!$E24&lt;&gt;0,0,NSTonghop!V24)</f>
        <v>0</v>
      </c>
      <c r="W24" s="128" t="str">
        <f>IF(NSTonghop!$E24&lt;&gt;0,0,NSTonghop!W24)</f>
        <v>ĐHTX</v>
      </c>
      <c r="X24" s="128" t="str">
        <f>IF(NSTonghop!$E24&lt;&gt;0,0,NSTonghop!X24)</f>
        <v>Văn</v>
      </c>
      <c r="Y24" s="128" t="str">
        <f>IF(NSTonghop!$E24&lt;&gt;0,0,NSTonghop!Y24)</f>
        <v>Văn</v>
      </c>
      <c r="Z24" s="128">
        <f>IF(NSTonghop!$E24&lt;&gt;0,0,NSTonghop!Z24)</f>
        <v>0</v>
      </c>
      <c r="AA24" s="128">
        <f>IF(NSTonghop!$E24&lt;&gt;0,0,NSTonghop!AA24)</f>
        <v>0</v>
      </c>
      <c r="AB24" s="128" t="str">
        <f>IF(NSTonghop!$E24&lt;&gt;0,0,NSTonghop!AB24)</f>
        <v>A/09/Khá</v>
      </c>
      <c r="AC24" s="128">
        <f>IF(NSTonghop!$E24&lt;&gt;0,0,NSTonghop!AC24)</f>
        <v>0</v>
      </c>
      <c r="AD24" s="128">
        <f>IF(NSTonghop!$E24&lt;&gt;0,0,NSTonghop!AD24)</f>
        <v>0</v>
      </c>
      <c r="AE24" s="128">
        <f>IF(NSTonghop!$E24&lt;&gt;0,0,NSTonghop!AE24)</f>
        <v>0</v>
      </c>
      <c r="AF24" s="128">
        <f>IF(NSTonghop!$E24&lt;&gt;0,0,NSTonghop!AF24)</f>
        <v>0</v>
      </c>
      <c r="AG24" s="128" t="str">
        <f>IF(NSTonghop!$E24&lt;&gt;0,0,NSTonghop!AG24)</f>
        <v>V.07.04.11</v>
      </c>
      <c r="AH24" s="128" t="str">
        <f>IF(NSTonghop!$E24&lt;&gt;0,0,NSTonghop!AH24)</f>
        <v>CN/06/Khá</v>
      </c>
      <c r="AI24" s="128">
        <f>IF(NSTonghop!$E24&lt;&gt;0,0,NSTonghop!AI24)</f>
        <v>505004930</v>
      </c>
      <c r="AJ24" s="128">
        <f>IF(NSTonghop!$E24&lt;&gt;0,0,NSTonghop!AJ24)</f>
        <v>351466515</v>
      </c>
      <c r="AK24" s="128" t="str">
        <f>IF(NSTonghop!$E24&lt;&gt;0,0,NSTonghop!AK24)</f>
        <v>04/09/2013</v>
      </c>
      <c r="AL24" s="128" t="str">
        <f>IF(NSTonghop!$E24&lt;&gt;0,0,NSTonghop!AL24)</f>
        <v>01/09/2004</v>
      </c>
      <c r="AM24" s="128" t="str">
        <f>IF(NSTonghop!$E24&lt;&gt;0,0,NSTonghop!AM24)</f>
        <v>01/09/2009</v>
      </c>
      <c r="AN24" s="128" t="str">
        <f>IF(NSTonghop!$E24&lt;&gt;0,0,NSTonghop!AN24)</f>
        <v>01/03/2005</v>
      </c>
      <c r="AO24" s="128" t="str">
        <f>IF(NSTonghop!$E24&lt;&gt;0,0,NSTonghop!AO24)</f>
        <v>19/05/2007</v>
      </c>
      <c r="AP24" s="128" t="str">
        <f>IF(NSTonghop!$E24&lt;&gt;0,0,NSTonghop!AP24)</f>
        <v>31.035 124</v>
      </c>
      <c r="AQ24" s="128">
        <f>IF(NSTonghop!$E24&lt;&gt;0,0,NSTonghop!AQ24)</f>
        <v>2007</v>
      </c>
      <c r="AR24" s="128" t="str">
        <f>IF(NSTonghop!$E24&lt;&gt;0,0,NSTonghop!AR24)</f>
        <v>20/11/1999</v>
      </c>
      <c r="AS24" s="128" t="str">
        <f>IF(NSTonghop!$E24&lt;&gt;0,0,NSTonghop!AS24)</f>
        <v>01/3/2005</v>
      </c>
      <c r="AT24" s="128" t="str">
        <f>IF(NSTonghop!$E24&lt;&gt;0,0,NSTonghop!AT24)</f>
        <v>0397154797</v>
      </c>
      <c r="AU24" s="212"/>
    </row>
    <row r="25" spans="1:47" s="118" customFormat="1" x14ac:dyDescent="0.25">
      <c r="A25" s="220"/>
      <c r="B25" s="128">
        <f>IF(F25&lt;&gt;0,MAX($B$8:B24)+1,"")</f>
        <v>16</v>
      </c>
      <c r="C25" s="132">
        <f>IF(F25=0,0,MAX($C$20:C24)+1)</f>
        <v>6</v>
      </c>
      <c r="D25" s="441" t="str">
        <f>IF(NSTonghop!$E25&lt;&gt;0,0,NSTonghop!D25)</f>
        <v>x</v>
      </c>
      <c r="E25" s="128">
        <f>IF(NSTonghop!E25&lt;&gt;0,0,0)</f>
        <v>0</v>
      </c>
      <c r="F25" s="128" t="str">
        <f>IF(NSTonghop!$E25&lt;&gt;0,0,NSTonghop!F25)</f>
        <v>Nguyễn Thị Kim Cúc</v>
      </c>
      <c r="G25" s="128" t="str">
        <f>IF(NSTonghop!$E25&lt;&gt;0,0,NSTonghop!G25)</f>
        <v>x</v>
      </c>
      <c r="H25" s="128">
        <f>IF(NSTonghop!$E25&lt;&gt;0,0,NSTonghop!H25)</f>
        <v>0</v>
      </c>
      <c r="I25" s="128" t="str">
        <f>IF(NSTonghop!$E25&lt;&gt;0,0,NSTonghop!I25)</f>
        <v>09/02/1977</v>
      </c>
      <c r="J25" s="128">
        <f>IF(NSTonghop!$E25&lt;&gt;0,0,NSTonghop!J25)</f>
        <v>0</v>
      </c>
      <c r="K25" s="128">
        <f>IF(NSTonghop!$E25&lt;&gt;0,0,NSTonghop!K25)</f>
        <v>1977</v>
      </c>
      <c r="L25" s="128" t="str">
        <f>IF(NSTonghop!$E25&lt;&gt;0,0,NSTonghop!L25)</f>
        <v>GV</v>
      </c>
      <c r="M25" s="128">
        <f>IF(NSTonghop!$E25&lt;&gt;0,0,NSTonghop!M25)</f>
        <v>0</v>
      </c>
      <c r="N25" s="128" t="str">
        <f>IF(NSTonghop!$E25&lt;&gt;0,0,NSTonghop!N25)</f>
        <v>Phật</v>
      </c>
      <c r="O25" s="128" t="str">
        <f>IF(NSTonghop!$E25&lt;&gt;0,0,NSTonghop!O25)</f>
        <v>Trung nông</v>
      </c>
      <c r="P25" s="128" t="str">
        <f>IF(NSTonghop!$E25&lt;&gt;0,0,NSTonghop!P25)</f>
        <v>Bình Mỹ-An Giang</v>
      </c>
      <c r="Q25" s="128" t="str">
        <f>IF(NSTonghop!$E25&lt;&gt;0,0,NSTonghop!Q25)</f>
        <v>Bình Mỹ-Châu Phú</v>
      </c>
      <c r="R25" s="128" t="str">
        <f>IF(NSTonghop!$E25&lt;&gt;0,0,NSTonghop!R25)</f>
        <v>148 Bình Quới 2, Bình Thạnh Đông</v>
      </c>
      <c r="S25" s="128" t="str">
        <f>IF(NSTonghop!$E25&lt;&gt;0,0,NSTonghop!S25)</f>
        <v>PTTH/96/TB</v>
      </c>
      <c r="T25" s="128" t="str">
        <f>IF(NSTonghop!$E25&lt;&gt;0,0,NSTonghop!T25)</f>
        <v>CĐ3/Văn-Sử/99/TB</v>
      </c>
      <c r="U25" s="128" t="str">
        <f>IF(NSTonghop!$E25&lt;&gt;0,0,NSTonghop!U25)</f>
        <v>ĐHTX/Văn/05/TBK</v>
      </c>
      <c r="V25" s="128">
        <f>IF(NSTonghop!$E25&lt;&gt;0,0,NSTonghop!V25)</f>
        <v>0</v>
      </c>
      <c r="W25" s="128" t="str">
        <f>IF(NSTonghop!$E25&lt;&gt;0,0,NSTonghop!W25)</f>
        <v>ĐHTX</v>
      </c>
      <c r="X25" s="128" t="str">
        <f>IF(NSTonghop!$E25&lt;&gt;0,0,NSTonghop!X25)</f>
        <v>Văn</v>
      </c>
      <c r="Y25" s="128" t="str">
        <f>IF(NSTonghop!$E25&lt;&gt;0,0,NSTonghop!Y25)</f>
        <v>Văn</v>
      </c>
      <c r="Z25" s="128">
        <f>IF(NSTonghop!$E25&lt;&gt;0,0,NSTonghop!Z25)</f>
        <v>0</v>
      </c>
      <c r="AA25" s="128">
        <f>IF(NSTonghop!$E25&lt;&gt;0,0,NSTonghop!AA25)</f>
        <v>0</v>
      </c>
      <c r="AB25" s="128">
        <f>IF(NSTonghop!$E25&lt;&gt;0,0,NSTonghop!AB25)</f>
        <v>0</v>
      </c>
      <c r="AC25" s="128">
        <f>IF(NSTonghop!$E25&lt;&gt;0,0,NSTonghop!AC25)</f>
        <v>0</v>
      </c>
      <c r="AD25" s="128">
        <f>IF(NSTonghop!$E25&lt;&gt;0,0,NSTonghop!AD25)</f>
        <v>0</v>
      </c>
      <c r="AE25" s="128">
        <f>IF(NSTonghop!$E25&lt;&gt;0,0,NSTonghop!AE25)</f>
        <v>0</v>
      </c>
      <c r="AF25" s="128">
        <f>IF(NSTonghop!$E25&lt;&gt;0,0,NSTonghop!AF25)</f>
        <v>0</v>
      </c>
      <c r="AG25" s="128" t="str">
        <f>IF(NSTonghop!$E25&lt;&gt;0,0,NSTonghop!AG25)</f>
        <v>V.07.04.11</v>
      </c>
      <c r="AH25" s="128" t="str">
        <f>IF(NSTonghop!$E25&lt;&gt;0,0,NSTonghop!AH25)</f>
        <v>CC4/14/Khá</v>
      </c>
      <c r="AI25" s="128">
        <f>IF(NSTonghop!$E25&lt;&gt;0,0,NSTonghop!AI25)</f>
        <v>5099036041</v>
      </c>
      <c r="AJ25" s="128">
        <f>IF(NSTonghop!$E25&lt;&gt;0,0,NSTonghop!AJ25)</f>
        <v>351109006</v>
      </c>
      <c r="AK25" s="128" t="str">
        <f>IF(NSTonghop!$E25&lt;&gt;0,0,NSTonghop!AK25)</f>
        <v>19/9/2007</v>
      </c>
      <c r="AL25" s="128" t="str">
        <f>IF(NSTonghop!$E25&lt;&gt;0,0,NSTonghop!AL25)</f>
        <v>01/9/1999</v>
      </c>
      <c r="AM25" s="128" t="str">
        <f>IF(NSTonghop!$E25&lt;&gt;0,0,NSTonghop!AM25)</f>
        <v>01/7/2019</v>
      </c>
      <c r="AN25" s="128" t="str">
        <f>IF(NSTonghop!$E25&lt;&gt;0,0,NSTonghop!AN25)</f>
        <v>01/4/2000</v>
      </c>
      <c r="AO25" s="128">
        <f>IF(NSTonghop!$E25&lt;&gt;0,0,NSTonghop!AO25)</f>
        <v>0</v>
      </c>
      <c r="AP25" s="128">
        <f>IF(NSTonghop!$E25&lt;&gt;0,0,NSTonghop!AP25)</f>
        <v>0</v>
      </c>
      <c r="AQ25" s="128" t="str">
        <f>IF(NSTonghop!$E25&lt;&gt;0,0,NSTonghop!AQ25)</f>
        <v/>
      </c>
      <c r="AR25" s="128">
        <f>IF(NSTonghop!$E25&lt;&gt;0,0,NSTonghop!AR25)</f>
        <v>0</v>
      </c>
      <c r="AS25" s="128">
        <f>IF(NSTonghop!$E25&lt;&gt;0,0,NSTonghop!AS25)</f>
        <v>0</v>
      </c>
      <c r="AT25" s="128">
        <f>IF(NSTonghop!$E25&lt;&gt;0,0,NSTonghop!AT25)</f>
        <v>0</v>
      </c>
      <c r="AU25" s="212"/>
    </row>
    <row r="26" spans="1:47" s="118" customFormat="1" x14ac:dyDescent="0.25">
      <c r="A26" s="220"/>
      <c r="B26" s="128">
        <f>IF(F26&lt;&gt;0,MAX($B$8:B25)+1,"")</f>
        <v>17</v>
      </c>
      <c r="C26" s="132">
        <f>IF(F26=0,0,MAX($C$20:C25)+1)</f>
        <v>7</v>
      </c>
      <c r="D26" s="441">
        <f>IF(NSTonghop!$E26&lt;&gt;0,0,NSTonghop!D26)</f>
        <v>1160</v>
      </c>
      <c r="E26" s="128">
        <f>IF(NSTonghop!E26&lt;&gt;0,0,0)</f>
        <v>0</v>
      </c>
      <c r="F26" s="128" t="str">
        <f>IF(NSTonghop!$E26&lt;&gt;0,0,NSTonghop!F26)</f>
        <v>Nguyễn Văn Hội</v>
      </c>
      <c r="G26" s="128">
        <f>IF(NSTonghop!$E26&lt;&gt;0,0,NSTonghop!G26)</f>
        <v>0</v>
      </c>
      <c r="H26" s="128" t="str">
        <f>IF(NSTonghop!$E26&lt;&gt;0,0,NSTonghop!H26)</f>
        <v>15/01/1965</v>
      </c>
      <c r="I26" s="128">
        <f>IF(NSTonghop!$E26&lt;&gt;0,0,NSTonghop!I26)</f>
        <v>0</v>
      </c>
      <c r="J26" s="128">
        <f>IF(NSTonghop!$E26&lt;&gt;0,0,NSTonghop!J26)</f>
        <v>1965</v>
      </c>
      <c r="K26" s="128">
        <f>IF(NSTonghop!$E26&lt;&gt;0,0,NSTonghop!K26)</f>
        <v>0</v>
      </c>
      <c r="L26" s="128" t="str">
        <f>IF(NSTonghop!$E26&lt;&gt;0,0,NSTonghop!L26)</f>
        <v>GV</v>
      </c>
      <c r="M26" s="128">
        <f>IF(NSTonghop!$E26&lt;&gt;0,0,NSTonghop!M26)</f>
        <v>0</v>
      </c>
      <c r="N26" s="128" t="str">
        <f>IF(NSTonghop!$E26&lt;&gt;0,0,NSTonghop!N26)</f>
        <v>Hòa Hảo</v>
      </c>
      <c r="O26" s="128" t="str">
        <f>IF(NSTonghop!$E26&lt;&gt;0,0,NSTonghop!O26)</f>
        <v>Nông dân</v>
      </c>
      <c r="P26" s="128" t="str">
        <f>IF(NSTonghop!$E26&lt;&gt;0,0,NSTonghop!P26)</f>
        <v>Khánh Hòa-AG</v>
      </c>
      <c r="Q26" s="128" t="str">
        <f>IF(NSTonghop!$E26&lt;&gt;0,0,NSTonghop!Q26)</f>
        <v>Khánh Hòa-Châu Phú</v>
      </c>
      <c r="R26" s="128" t="str">
        <f>IF(NSTonghop!$E26&lt;&gt;0,0,NSTonghop!R26)</f>
        <v>34-Phạm Ngũ Lão, Bình Hòa, Cái Dầu</v>
      </c>
      <c r="S26" s="128" t="str">
        <f>IF(NSTonghop!$E26&lt;&gt;0,0,NSTonghop!S26)</f>
        <v>BTTH/85/-</v>
      </c>
      <c r="T26" s="128" t="str">
        <f>IF(NSTonghop!$E26&lt;&gt;0,0,NSTonghop!T26)</f>
        <v>?</v>
      </c>
      <c r="U26" s="128" t="str">
        <f>IF(NSTonghop!$E26&lt;&gt;0,0,NSTonghop!U26)</f>
        <v>ĐHTC/Văn/92/-</v>
      </c>
      <c r="V26" s="128">
        <f>IF(NSTonghop!$E26&lt;&gt;0,0,NSTonghop!V26)</f>
        <v>0</v>
      </c>
      <c r="W26" s="128" t="str">
        <f>IF(NSTonghop!$E26&lt;&gt;0,0,NSTonghop!W26)</f>
        <v>ĐHTC</v>
      </c>
      <c r="X26" s="128" t="str">
        <f>IF(NSTonghop!$E26&lt;&gt;0,0,NSTonghop!X26)</f>
        <v>Văn</v>
      </c>
      <c r="Y26" s="128" t="str">
        <f>IF(NSTonghop!$E26&lt;&gt;0,0,NSTonghop!Y26)</f>
        <v>Văn</v>
      </c>
      <c r="Z26" s="128">
        <f>IF(NSTonghop!$E26&lt;&gt;0,0,NSTonghop!Z26)</f>
        <v>0</v>
      </c>
      <c r="AA26" s="128" t="str">
        <f>IF(NSTonghop!$E26&lt;&gt;0,0,NSTonghop!AA26)</f>
        <v>TC/04/TB</v>
      </c>
      <c r="AB26" s="128" t="str">
        <f>IF(NSTonghop!$E26&lt;&gt;0,0,NSTonghop!AB26)</f>
        <v>A/07/Khá</v>
      </c>
      <c r="AC26" s="128" t="str">
        <f>IF(NSTonghop!$E26&lt;&gt;0,0,NSTonghop!AC26)</f>
        <v>B/Anh/16/TB</v>
      </c>
      <c r="AD26" s="128">
        <f>IF(NSTonghop!$E26&lt;&gt;0,0,NSTonghop!AD26)</f>
        <v>0</v>
      </c>
      <c r="AE26" s="128">
        <f>IF(NSTonghop!$E26&lt;&gt;0,0,NSTonghop!AE26)</f>
        <v>0</v>
      </c>
      <c r="AF26" s="128">
        <f>IF(NSTonghop!$E26&lt;&gt;0,0,NSTonghop!AF26)</f>
        <v>0</v>
      </c>
      <c r="AG26" s="128" t="str">
        <f>IF(NSTonghop!$E26&lt;&gt;0,0,NSTonghop!AG26)</f>
        <v>V.07.04.11</v>
      </c>
      <c r="AH26" s="128" t="str">
        <f>IF(NSTonghop!$E26&lt;&gt;0,0,NSTonghop!AH26)</f>
        <v>CC4/13/Khá</v>
      </c>
      <c r="AI26" s="128">
        <f>IF(NSTonghop!$E26&lt;&gt;0,0,NSTonghop!AI26)</f>
        <v>5096004332</v>
      </c>
      <c r="AJ26" s="128">
        <f>IF(NSTonghop!$E26&lt;&gt;0,0,NSTonghop!AJ26)</f>
        <v>351232585</v>
      </c>
      <c r="AK26" s="128" t="str">
        <f>IF(NSTonghop!$E26&lt;&gt;0,0,NSTonghop!AK26)</f>
        <v>26/12/2013</v>
      </c>
      <c r="AL26" s="128" t="str">
        <f>IF(NSTonghop!$E26&lt;&gt;0,0,NSTonghop!AL26)</f>
        <v>17/10/1984</v>
      </c>
      <c r="AM26" s="128" t="str">
        <f>IF(NSTonghop!$E26&lt;&gt;0,0,NSTonghop!AM26)</f>
        <v>01/8/2018</v>
      </c>
      <c r="AN26" s="128" t="str">
        <f>IF(NSTonghop!$E26&lt;&gt;0,0,NSTonghop!AN26)</f>
        <v>12/11/1986</v>
      </c>
      <c r="AO26" s="128" t="str">
        <f>IF(NSTonghop!$E26&lt;&gt;0,0,NSTonghop!AO26)</f>
        <v>23/01/1997</v>
      </c>
      <c r="AP26" s="128" t="str">
        <f>IF(NSTonghop!$E26&lt;&gt;0,0,NSTonghop!AP26)</f>
        <v>31.015 010</v>
      </c>
      <c r="AQ26" s="128">
        <f>IF(NSTonghop!$E26&lt;&gt;0,0,NSTonghop!AQ26)</f>
        <v>1997</v>
      </c>
      <c r="AR26" s="128">
        <f>IF(NSTonghop!$E26&lt;&gt;0,0,NSTonghop!AR26)</f>
        <v>0</v>
      </c>
      <c r="AS26" s="128">
        <f>IF(NSTonghop!$E26&lt;&gt;0,0,NSTonghop!AS26)</f>
        <v>0</v>
      </c>
      <c r="AT26" s="128" t="str">
        <f>IF(NSTonghop!$E26&lt;&gt;0,0,NSTonghop!AT26)</f>
        <v>0974230187</v>
      </c>
      <c r="AU26" s="212"/>
    </row>
    <row r="27" spans="1:47" s="118" customFormat="1" x14ac:dyDescent="0.25">
      <c r="A27" s="220"/>
      <c r="B27" s="128">
        <f>IF(F27&lt;&gt;0,MAX($B$8:B26)+1,"")</f>
        <v>18</v>
      </c>
      <c r="C27" s="132">
        <f>IF(F27=0,0,MAX($C$20:C26)+1)</f>
        <v>8</v>
      </c>
      <c r="D27" s="441">
        <f>IF(NSTonghop!$E27&lt;&gt;0,0,NSTonghop!D27)</f>
        <v>1207</v>
      </c>
      <c r="E27" s="128">
        <f>IF(NSTonghop!E27&lt;&gt;0,0,0)</f>
        <v>0</v>
      </c>
      <c r="F27" s="128" t="str">
        <f>IF(NSTonghop!$E27&lt;&gt;0,0,NSTonghop!F27)</f>
        <v>Nguyễn Hoàng Tuấn</v>
      </c>
      <c r="G27" s="128">
        <f>IF(NSTonghop!$E27&lt;&gt;0,0,NSTonghop!G27)</f>
        <v>0</v>
      </c>
      <c r="H27" s="128" t="str">
        <f>IF(NSTonghop!$E27&lt;&gt;0,0,NSTonghop!H27)</f>
        <v>03/06/1964</v>
      </c>
      <c r="I27" s="128">
        <f>IF(NSTonghop!$E27&lt;&gt;0,0,NSTonghop!I27)</f>
        <v>0</v>
      </c>
      <c r="J27" s="128">
        <f>IF(NSTonghop!$E27&lt;&gt;0,0,NSTonghop!J27)</f>
        <v>1964</v>
      </c>
      <c r="K27" s="128">
        <f>IF(NSTonghop!$E27&lt;&gt;0,0,NSTonghop!K27)</f>
        <v>0</v>
      </c>
      <c r="L27" s="128" t="str">
        <f>IF(NSTonghop!$E27&lt;&gt;0,0,NSTonghop!L27)</f>
        <v>GV</v>
      </c>
      <c r="M27" s="128">
        <f>IF(NSTonghop!$E27&lt;&gt;0,0,NSTonghop!M27)</f>
        <v>0</v>
      </c>
      <c r="N27" s="128" t="str">
        <f>IF(NSTonghop!$E27&lt;&gt;0,0,NSTonghop!N27)</f>
        <v>x</v>
      </c>
      <c r="O27" s="128" t="str">
        <f>IF(NSTonghop!$E27&lt;&gt;0,0,NSTonghop!O27)</f>
        <v>Nông dân</v>
      </c>
      <c r="P27" s="128" t="str">
        <f>IF(NSTonghop!$E27&lt;&gt;0,0,NSTonghop!P27)</f>
        <v>Bình Long-An Giang</v>
      </c>
      <c r="Q27" s="128" t="str">
        <f>IF(NSTonghop!$E27&lt;&gt;0,0,NSTonghop!Q27)</f>
        <v>Bình Long-Châu Phú</v>
      </c>
      <c r="R27" s="128" t="str">
        <f>IF(NSTonghop!$E27&lt;&gt;0,0,NSTonghop!R27)</f>
        <v>Bình Chánh-Bình Long</v>
      </c>
      <c r="S27" s="128" t="str">
        <f>IF(NSTonghop!$E27&lt;&gt;0,0,NSTonghop!S27)</f>
        <v>BTTH/84/-</v>
      </c>
      <c r="T27" s="128" t="str">
        <f>IF(NSTonghop!$E27&lt;&gt;0,0,NSTonghop!T27)</f>
        <v>CĐ3/Văn-KTPT/90/TB</v>
      </c>
      <c r="U27" s="128" t="str">
        <f>IF(NSTonghop!$E27&lt;&gt;0,0,NSTonghop!U27)</f>
        <v>ĐHTX/Văn/00/TB</v>
      </c>
      <c r="V27" s="128">
        <f>IF(NSTonghop!$E27&lt;&gt;0,0,NSTonghop!V27)</f>
        <v>0</v>
      </c>
      <c r="W27" s="128" t="str">
        <f>IF(NSTonghop!$E27&lt;&gt;0,0,NSTonghop!W27)</f>
        <v>ĐHTX</v>
      </c>
      <c r="X27" s="128" t="str">
        <f>IF(NSTonghop!$E27&lt;&gt;0,0,NSTonghop!X27)</f>
        <v>Văn</v>
      </c>
      <c r="Y27" s="128" t="str">
        <f>IF(NSTonghop!$E27&lt;&gt;0,0,NSTonghop!Y27)</f>
        <v>Văn</v>
      </c>
      <c r="Z27" s="128">
        <f>IF(NSTonghop!$E27&lt;&gt;0,0,NSTonghop!Z27)</f>
        <v>0</v>
      </c>
      <c r="AA27" s="128">
        <f>IF(NSTonghop!$E27&lt;&gt;0,0,NSTonghop!AA27)</f>
        <v>0</v>
      </c>
      <c r="AB27" s="128" t="str">
        <f>IF(NSTonghop!$E27&lt;&gt;0,0,NSTonghop!AB27)</f>
        <v>A/08/Khá</v>
      </c>
      <c r="AC27" s="128">
        <f>IF(NSTonghop!$E27&lt;&gt;0,0,NSTonghop!AC27)</f>
        <v>0</v>
      </c>
      <c r="AD27" s="128">
        <f>IF(NSTonghop!$E27&lt;&gt;0,0,NSTonghop!AD27)</f>
        <v>0</v>
      </c>
      <c r="AE27" s="128">
        <f>IF(NSTonghop!$E27&lt;&gt;0,0,NSTonghop!AE27)</f>
        <v>0</v>
      </c>
      <c r="AF27" s="128">
        <f>IF(NSTonghop!$E27&lt;&gt;0,0,NSTonghop!AF27)</f>
        <v>0</v>
      </c>
      <c r="AG27" s="128" t="str">
        <f>IF(NSTonghop!$E27&lt;&gt;0,0,NSTonghop!AG27)</f>
        <v>V.07.04.11</v>
      </c>
      <c r="AH27" s="128">
        <f>IF(NSTonghop!$E27&lt;&gt;0,0,NSTonghop!AH27)</f>
        <v>0</v>
      </c>
      <c r="AI27" s="128">
        <f>IF(NSTonghop!$E27&lt;&gt;0,0,NSTonghop!AI27)</f>
        <v>5096017258</v>
      </c>
      <c r="AJ27" s="128">
        <f>IF(NSTonghop!$E27&lt;&gt;0,0,NSTonghop!AJ27)</f>
        <v>350533799</v>
      </c>
      <c r="AK27" s="128" t="str">
        <f>IF(NSTonghop!$E27&lt;&gt;0,0,NSTonghop!AK27)</f>
        <v>12/03/2012</v>
      </c>
      <c r="AL27" s="128" t="str">
        <f>IF(NSTonghop!$E27&lt;&gt;0,0,NSTonghop!AL27)</f>
        <v>01/10/1981</v>
      </c>
      <c r="AM27" s="128" t="str">
        <f>IF(NSTonghop!$E27&lt;&gt;0,0,NSTonghop!AM27)</f>
        <v>15/06/1991</v>
      </c>
      <c r="AN27" s="128" t="str">
        <f>IF(NSTonghop!$E27&lt;&gt;0,0,NSTonghop!AN27)</f>
        <v>01/05/1983</v>
      </c>
      <c r="AO27" s="128">
        <f>IF(NSTonghop!$E27&lt;&gt;0,0,NSTonghop!AO27)</f>
        <v>0</v>
      </c>
      <c r="AP27" s="128">
        <f>IF(NSTonghop!$E27&lt;&gt;0,0,NSTonghop!AP27)</f>
        <v>0</v>
      </c>
      <c r="AQ27" s="128" t="str">
        <f>IF(NSTonghop!$E27&lt;&gt;0,0,NSTonghop!AQ27)</f>
        <v/>
      </c>
      <c r="AR27" s="128">
        <f>IF(NSTonghop!$E27&lt;&gt;0,0,NSTonghop!AR27)</f>
        <v>0</v>
      </c>
      <c r="AS27" s="128">
        <f>IF(NSTonghop!$E27&lt;&gt;0,0,NSTonghop!AS27)</f>
        <v>0</v>
      </c>
      <c r="AT27" s="128" t="str">
        <f>IF(NSTonghop!$E27&lt;&gt;0,0,NSTonghop!AT27)</f>
        <v>0989735545</v>
      </c>
      <c r="AU27" s="212"/>
    </row>
    <row r="28" spans="1:47" s="118" customFormat="1" x14ac:dyDescent="0.25">
      <c r="A28" s="220"/>
      <c r="B28" s="128">
        <f>IF(F28&lt;&gt;0,MAX($B$8:B27)+1,"")</f>
        <v>19</v>
      </c>
      <c r="C28" s="132">
        <f>IF(F28=0,0,MAX($C$20:C27)+1)</f>
        <v>9</v>
      </c>
      <c r="D28" s="441">
        <f>IF(NSTonghop!$E28&lt;&gt;0,0,NSTonghop!D28)</f>
        <v>1231</v>
      </c>
      <c r="E28" s="128">
        <f>IF(NSTonghop!E28&lt;&gt;0,0,0)</f>
        <v>0</v>
      </c>
      <c r="F28" s="128" t="str">
        <f>IF(NSTonghop!$E28&lt;&gt;0,0,NSTonghop!F28)</f>
        <v>Nguyễn Thị Kim Nghe</v>
      </c>
      <c r="G28" s="128" t="str">
        <f>IF(NSTonghop!$E28&lt;&gt;0,0,NSTonghop!G28)</f>
        <v>x</v>
      </c>
      <c r="H28" s="128">
        <f>IF(NSTonghop!$E28&lt;&gt;0,0,NSTonghop!H28)</f>
        <v>0</v>
      </c>
      <c r="I28" s="128" t="str">
        <f>IF(NSTonghop!$E28&lt;&gt;0,0,NSTonghop!I28)</f>
        <v>19/05/1969</v>
      </c>
      <c r="J28" s="128">
        <f>IF(NSTonghop!$E28&lt;&gt;0,0,NSTonghop!J28)</f>
        <v>0</v>
      </c>
      <c r="K28" s="128">
        <f>IF(NSTonghop!$E28&lt;&gt;0,0,NSTonghop!K28)</f>
        <v>1969</v>
      </c>
      <c r="L28" s="128" t="str">
        <f>IF(NSTonghop!$E28&lt;&gt;0,0,NSTonghop!L28)</f>
        <v>GV</v>
      </c>
      <c r="M28" s="128">
        <f>IF(NSTonghop!$E28&lt;&gt;0,0,NSTonghop!M28)</f>
        <v>0</v>
      </c>
      <c r="N28" s="128" t="str">
        <f>IF(NSTonghop!$E28&lt;&gt;0,0,NSTonghop!N28)</f>
        <v>Hòa Hảo</v>
      </c>
      <c r="O28" s="128" t="str">
        <f>IF(NSTonghop!$E28&lt;&gt;0,0,NSTonghop!O28)</f>
        <v>Nông dân</v>
      </c>
      <c r="P28" s="128" t="str">
        <f>IF(NSTonghop!$E28&lt;&gt;0,0,NSTonghop!P28)</f>
        <v>Bình Mỹ-An Giang</v>
      </c>
      <c r="Q28" s="128" t="str">
        <f>IF(NSTonghop!$E28&lt;&gt;0,0,NSTonghop!Q28)</f>
        <v>Bình Long-Châu Phú</v>
      </c>
      <c r="R28" s="128" t="str">
        <f>IF(NSTonghop!$E28&lt;&gt;0,0,NSTonghop!R28)</f>
        <v>665/19 Bình Hưng I-Bình Mỹ</v>
      </c>
      <c r="S28" s="128" t="str">
        <f>IF(NSTonghop!$E28&lt;&gt;0,0,NSTonghop!S28)</f>
        <v>PTTH/86/TB</v>
      </c>
      <c r="T28" s="128" t="str">
        <f>IF(NSTonghop!$E28&lt;&gt;0,0,NSTonghop!T28)</f>
        <v>CĐ2/Văn-KTPT/89/TB</v>
      </c>
      <c r="U28" s="128" t="str">
        <f>IF(NSTonghop!$E28&lt;&gt;0,0,NSTonghop!U28)</f>
        <v>ĐHTX/Văn/02/TB</v>
      </c>
      <c r="V28" s="128" t="str">
        <f>IF(NSTonghop!$E28&lt;&gt;0,0,NSTonghop!V28)</f>
        <v>KTPV/05/Khá</v>
      </c>
      <c r="W28" s="128" t="str">
        <f>IF(NSTonghop!$E28&lt;&gt;0,0,NSTonghop!W28)</f>
        <v>ĐHTX</v>
      </c>
      <c r="X28" s="128" t="str">
        <f>IF(NSTonghop!$E28&lt;&gt;0,0,NSTonghop!X28)</f>
        <v>Văn</v>
      </c>
      <c r="Y28" s="128" t="str">
        <f>IF(NSTonghop!$E28&lt;&gt;0,0,NSTonghop!Y28)</f>
        <v>CNPV</v>
      </c>
      <c r="Z28" s="128">
        <f>IF(NSTonghop!$E28&lt;&gt;0,0,NSTonghop!Z28)</f>
        <v>0</v>
      </c>
      <c r="AA28" s="128">
        <f>IF(NSTonghop!$E28&lt;&gt;0,0,NSTonghop!AA28)</f>
        <v>0</v>
      </c>
      <c r="AB28" s="128" t="str">
        <f>IF(NSTonghop!$E28&lt;&gt;0,0,NSTonghop!AB28)</f>
        <v>A/07/Khá</v>
      </c>
      <c r="AC28" s="128">
        <f>IF(NSTonghop!$E28&lt;&gt;0,0,NSTonghop!AC28)</f>
        <v>0</v>
      </c>
      <c r="AD28" s="128">
        <f>IF(NSTonghop!$E28&lt;&gt;0,0,NSTonghop!AD28)</f>
        <v>0</v>
      </c>
      <c r="AE28" s="128">
        <f>IF(NSTonghop!$E28&lt;&gt;0,0,NSTonghop!AE28)</f>
        <v>0</v>
      </c>
      <c r="AF28" s="128">
        <f>IF(NSTonghop!$E28&lt;&gt;0,0,NSTonghop!AF28)</f>
        <v>0</v>
      </c>
      <c r="AG28" s="128" t="str">
        <f>IF(NSTonghop!$E28&lt;&gt;0,0,NSTonghop!AG28)</f>
        <v>V.07.04.11</v>
      </c>
      <c r="AH28" s="128" t="str">
        <f>IF(NSTonghop!$E28&lt;&gt;0,0,NSTonghop!AH28)</f>
        <v>CN/10/Khá</v>
      </c>
      <c r="AI28" s="128">
        <f>IF(NSTonghop!$E28&lt;&gt;0,0,NSTonghop!AI28)</f>
        <v>5096017242</v>
      </c>
      <c r="AJ28" s="128">
        <f>IF(NSTonghop!$E28&lt;&gt;0,0,NSTonghop!AJ28)</f>
        <v>350828493</v>
      </c>
      <c r="AK28" s="128" t="str">
        <f>IF(NSTonghop!$E28&lt;&gt;0,0,NSTonghop!AK28)</f>
        <v>20/10/2016</v>
      </c>
      <c r="AL28" s="128" t="str">
        <f>IF(NSTonghop!$E28&lt;&gt;0,0,NSTonghop!AL28)</f>
        <v>01/09/1988</v>
      </c>
      <c r="AM28" s="128" t="str">
        <f>IF(NSTonghop!$E28&lt;&gt;0,0,NSTonghop!AM28)</f>
        <v>15/08/1995</v>
      </c>
      <c r="AN28" s="128" t="str">
        <f>IF(NSTonghop!$E28&lt;&gt;0,0,NSTonghop!AN28)</f>
        <v>01/02/1992</v>
      </c>
      <c r="AO28" s="128" t="str">
        <f>IF(NSTonghop!$E28&lt;&gt;0,0,NSTonghop!AO28)</f>
        <v>24/07/2007</v>
      </c>
      <c r="AP28" s="128" t="str">
        <f>IF(NSTonghop!$E28&lt;&gt;0,0,NSTonghop!AP28)</f>
        <v>31.035 132</v>
      </c>
      <c r="AQ28" s="128">
        <f>IF(NSTonghop!$E28&lt;&gt;0,0,NSTonghop!AQ28)</f>
        <v>2007</v>
      </c>
      <c r="AR28" s="128" t="str">
        <f>IF(NSTonghop!$E28&lt;&gt;0,0,NSTonghop!AR28)</f>
        <v>19/05/1986</v>
      </c>
      <c r="AS28" s="128">
        <f>IF(NSTonghop!$E28&lt;&gt;0,0,NSTonghop!AS28)</f>
        <v>0</v>
      </c>
      <c r="AT28" s="128" t="str">
        <f>IF(NSTonghop!$E28&lt;&gt;0,0,NSTonghop!AT28)</f>
        <v>0367667670</v>
      </c>
      <c r="AU28" s="212"/>
    </row>
    <row r="29" spans="1:47" s="118" customFormat="1" x14ac:dyDescent="0.25">
      <c r="A29" s="220"/>
      <c r="B29" s="128" t="str">
        <f>IF(F29&lt;&gt;0,MAX($B$8:B28)+1,"")</f>
        <v/>
      </c>
      <c r="C29" s="132">
        <f>IF(F29=0,0,MAX($C$20:C28)+1)</f>
        <v>0</v>
      </c>
      <c r="D29" s="441">
        <f>IF(NSTonghop!$E29&lt;&gt;0,0,NSTonghop!D29)</f>
        <v>0</v>
      </c>
      <c r="E29" s="128">
        <f>IF(NSTonghop!E29&lt;&gt;0,0,0)</f>
        <v>0</v>
      </c>
      <c r="F29" s="128">
        <f>IF(NSTonghop!$E29&lt;&gt;0,0,NSTonghop!F29)</f>
        <v>0</v>
      </c>
      <c r="G29" s="128">
        <f>IF(NSTonghop!$E29&lt;&gt;0,0,NSTonghop!G29)</f>
        <v>0</v>
      </c>
      <c r="H29" s="128">
        <f>IF(NSTonghop!$E29&lt;&gt;0,0,NSTonghop!H29)</f>
        <v>0</v>
      </c>
      <c r="I29" s="128">
        <f>IF(NSTonghop!$E29&lt;&gt;0,0,NSTonghop!I29)</f>
        <v>0</v>
      </c>
      <c r="J29" s="128">
        <f>IF(NSTonghop!$E29&lt;&gt;0,0,NSTonghop!J29)</f>
        <v>0</v>
      </c>
      <c r="K29" s="128">
        <f>IF(NSTonghop!$E29&lt;&gt;0,0,NSTonghop!K29)</f>
        <v>0</v>
      </c>
      <c r="L29" s="128">
        <f>IF(NSTonghop!$E29&lt;&gt;0,0,NSTonghop!L29)</f>
        <v>0</v>
      </c>
      <c r="M29" s="128">
        <f>IF(NSTonghop!$E29&lt;&gt;0,0,NSTonghop!M29)</f>
        <v>0</v>
      </c>
      <c r="N29" s="128">
        <f>IF(NSTonghop!$E29&lt;&gt;0,0,NSTonghop!N29)</f>
        <v>0</v>
      </c>
      <c r="O29" s="128">
        <f>IF(NSTonghop!$E29&lt;&gt;0,0,NSTonghop!O29)</f>
        <v>0</v>
      </c>
      <c r="P29" s="128">
        <f>IF(NSTonghop!$E29&lt;&gt;0,0,NSTonghop!P29)</f>
        <v>0</v>
      </c>
      <c r="Q29" s="128">
        <f>IF(NSTonghop!$E29&lt;&gt;0,0,NSTonghop!Q29)</f>
        <v>0</v>
      </c>
      <c r="R29" s="128">
        <f>IF(NSTonghop!$E29&lt;&gt;0,0,NSTonghop!R29)</f>
        <v>0</v>
      </c>
      <c r="S29" s="128">
        <f>IF(NSTonghop!$E29&lt;&gt;0,0,NSTonghop!S29)</f>
        <v>0</v>
      </c>
      <c r="T29" s="128">
        <f>IF(NSTonghop!$E29&lt;&gt;0,0,NSTonghop!T29)</f>
        <v>0</v>
      </c>
      <c r="U29" s="128">
        <f>IF(NSTonghop!$E29&lt;&gt;0,0,NSTonghop!U29)</f>
        <v>0</v>
      </c>
      <c r="V29" s="128">
        <f>IF(NSTonghop!$E29&lt;&gt;0,0,NSTonghop!V29)</f>
        <v>0</v>
      </c>
      <c r="W29" s="128">
        <f>IF(NSTonghop!$E29&lt;&gt;0,0,NSTonghop!W29)</f>
        <v>0</v>
      </c>
      <c r="X29" s="128">
        <f>IF(NSTonghop!$E29&lt;&gt;0,0,NSTonghop!X29)</f>
        <v>0</v>
      </c>
      <c r="Y29" s="128">
        <f>IF(NSTonghop!$E29&lt;&gt;0,0,NSTonghop!Y29)</f>
        <v>0</v>
      </c>
      <c r="Z29" s="128">
        <f>IF(NSTonghop!$E29&lt;&gt;0,0,NSTonghop!Z29)</f>
        <v>0</v>
      </c>
      <c r="AA29" s="128">
        <f>IF(NSTonghop!$E29&lt;&gt;0,0,NSTonghop!AA29)</f>
        <v>0</v>
      </c>
      <c r="AB29" s="128">
        <f>IF(NSTonghop!$E29&lt;&gt;0,0,NSTonghop!AB29)</f>
        <v>0</v>
      </c>
      <c r="AC29" s="128">
        <f>IF(NSTonghop!$E29&lt;&gt;0,0,NSTonghop!AC29)</f>
        <v>0</v>
      </c>
      <c r="AD29" s="128">
        <f>IF(NSTonghop!$E29&lt;&gt;0,0,NSTonghop!AD29)</f>
        <v>0</v>
      </c>
      <c r="AE29" s="128">
        <f>IF(NSTonghop!$E29&lt;&gt;0,0,NSTonghop!AE29)</f>
        <v>0</v>
      </c>
      <c r="AF29" s="128">
        <f>IF(NSTonghop!$E29&lt;&gt;0,0,NSTonghop!AF29)</f>
        <v>0</v>
      </c>
      <c r="AG29" s="128">
        <f>IF(NSTonghop!$E29&lt;&gt;0,0,NSTonghop!AG29)</f>
        <v>0</v>
      </c>
      <c r="AH29" s="128">
        <f>IF(NSTonghop!$E29&lt;&gt;0,0,NSTonghop!AH29)</f>
        <v>0</v>
      </c>
      <c r="AI29" s="128">
        <f>IF(NSTonghop!$E29&lt;&gt;0,0,NSTonghop!AI29)</f>
        <v>0</v>
      </c>
      <c r="AJ29" s="128">
        <f>IF(NSTonghop!$E29&lt;&gt;0,0,NSTonghop!AJ29)</f>
        <v>0</v>
      </c>
      <c r="AK29" s="128">
        <f>IF(NSTonghop!$E29&lt;&gt;0,0,NSTonghop!AK29)</f>
        <v>0</v>
      </c>
      <c r="AL29" s="128">
        <f>IF(NSTonghop!$E29&lt;&gt;0,0,NSTonghop!AL29)</f>
        <v>0</v>
      </c>
      <c r="AM29" s="128">
        <f>IF(NSTonghop!$E29&lt;&gt;0,0,NSTonghop!AM29)</f>
        <v>0</v>
      </c>
      <c r="AN29" s="128">
        <f>IF(NSTonghop!$E29&lt;&gt;0,0,NSTonghop!AN29)</f>
        <v>0</v>
      </c>
      <c r="AO29" s="128">
        <f>IF(NSTonghop!$E29&lt;&gt;0,0,NSTonghop!AO29)</f>
        <v>0</v>
      </c>
      <c r="AP29" s="128">
        <f>IF(NSTonghop!$E29&lt;&gt;0,0,NSTonghop!AP29)</f>
        <v>0</v>
      </c>
      <c r="AQ29" s="128">
        <f>IF(NSTonghop!$E29&lt;&gt;0,0,NSTonghop!AQ29)</f>
        <v>0</v>
      </c>
      <c r="AR29" s="128">
        <f>IF(NSTonghop!$E29&lt;&gt;0,0,NSTonghop!AR29)</f>
        <v>0</v>
      </c>
      <c r="AS29" s="128">
        <f>IF(NSTonghop!$E29&lt;&gt;0,0,NSTonghop!AS29)</f>
        <v>0</v>
      </c>
      <c r="AT29" s="128">
        <f>IF(NSTonghop!$E29&lt;&gt;0,0,NSTonghop!AT29)</f>
        <v>0</v>
      </c>
      <c r="AU29" s="212"/>
    </row>
    <row r="30" spans="1:47" s="118" customFormat="1" x14ac:dyDescent="0.25">
      <c r="A30" s="220"/>
      <c r="B30" s="128">
        <f>IF(F30&lt;&gt;0,MAX($B$8:B29)+1,"")</f>
        <v>20</v>
      </c>
      <c r="C30" s="132">
        <f>IF(F30=0,0,MAX($C$20:C29)+1)</f>
        <v>10</v>
      </c>
      <c r="D30" s="441">
        <f>IF(NSTonghop!$E30&lt;&gt;0,0,NSTonghop!D30)</f>
        <v>1219</v>
      </c>
      <c r="E30" s="128">
        <f>IF(NSTonghop!E30&lt;&gt;0,0,0)</f>
        <v>0</v>
      </c>
      <c r="F30" s="128" t="str">
        <f>IF(NSTonghop!$E30&lt;&gt;0,0,NSTonghop!F30)</f>
        <v>Trần Khắc Cường</v>
      </c>
      <c r="G30" s="128">
        <f>IF(NSTonghop!$E30&lt;&gt;0,0,NSTonghop!G30)</f>
        <v>0</v>
      </c>
      <c r="H30" s="128" t="str">
        <f>IF(NSTonghop!$E30&lt;&gt;0,0,NSTonghop!H30)</f>
        <v>25/12/1960</v>
      </c>
      <c r="I30" s="128">
        <f>IF(NSTonghop!$E30&lt;&gt;0,0,NSTonghop!I30)</f>
        <v>0</v>
      </c>
      <c r="J30" s="128">
        <f>IF(NSTonghop!$E30&lt;&gt;0,0,NSTonghop!J30)</f>
        <v>1960</v>
      </c>
      <c r="K30" s="128">
        <f>IF(NSTonghop!$E30&lt;&gt;0,0,NSTonghop!K30)</f>
        <v>0</v>
      </c>
      <c r="L30" s="128" t="str">
        <f>IF(NSTonghop!$E30&lt;&gt;0,0,NSTonghop!L30)</f>
        <v>GV</v>
      </c>
      <c r="M30" s="128">
        <f>IF(NSTonghop!$E30&lt;&gt;0,0,NSTonghop!M30)</f>
        <v>0</v>
      </c>
      <c r="N30" s="128" t="str">
        <f>IF(NSTonghop!$E30&lt;&gt;0,0,NSTonghop!N30)</f>
        <v>Phật</v>
      </c>
      <c r="O30" s="128" t="str">
        <f>IF(NSTonghop!$E30&lt;&gt;0,0,NSTonghop!O30)</f>
        <v>Tiểu thương</v>
      </c>
      <c r="P30" s="128" t="str">
        <f>IF(NSTonghop!$E30&lt;&gt;0,0,NSTonghop!P30)</f>
        <v>An Phú-Tịnh Biên</v>
      </c>
      <c r="Q30" s="128" t="str">
        <f>IF(NSTonghop!$E30&lt;&gt;0,0,NSTonghop!Q30)</f>
        <v>An Phú-Tịnh Biên</v>
      </c>
      <c r="R30" s="128" t="str">
        <f>IF(NSTonghop!$E30&lt;&gt;0,0,NSTonghop!R30)</f>
        <v>251/1 Vĩnh Lộc-Cái Dầu</v>
      </c>
      <c r="S30" s="128" t="str">
        <f>IF(NSTonghop!$E30&lt;&gt;0,0,NSTonghop!S30)</f>
        <v>BTTH/03/TB</v>
      </c>
      <c r="T30" s="128" t="str">
        <f>IF(NSTonghop!$E30&lt;&gt;0,0,NSTonghop!T30)</f>
        <v>THSP3/80</v>
      </c>
      <c r="U30" s="128" t="str">
        <f>IF(NSTonghop!$E30&lt;&gt;0,0,NSTonghop!U30)</f>
        <v>CĐ2/Văn-KTPT/83/TB</v>
      </c>
      <c r="V30" s="128" t="str">
        <f>IF(NSTonghop!$E30&lt;&gt;0,0,NSTonghop!V30)</f>
        <v>CĐCT/Văn/96/TB</v>
      </c>
      <c r="W30" s="128" t="str">
        <f>IF(NSTonghop!$E30&lt;&gt;0,0,NSTonghop!W30)</f>
        <v>ĐHTX</v>
      </c>
      <c r="X30" s="128" t="str">
        <f>IF(NSTonghop!$E30&lt;&gt;0,0,NSTonghop!X30)</f>
        <v>Văn</v>
      </c>
      <c r="Y30" s="128" t="str">
        <f>IF(NSTonghop!$E30&lt;&gt;0,0,NSTonghop!Y30)</f>
        <v>Văn</v>
      </c>
      <c r="Z30" s="128" t="str">
        <f>IF(NSTonghop!$E30&lt;&gt;0,0,NSTonghop!Z30)</f>
        <v>ĐHTX/Văn/00/TB</v>
      </c>
      <c r="AA30" s="128">
        <f>IF(NSTonghop!$E30&lt;&gt;0,0,NSTonghop!AA30)</f>
        <v>0</v>
      </c>
      <c r="AB30" s="128" t="str">
        <f>IF(NSTonghop!$E30&lt;&gt;0,0,NSTonghop!AB30)</f>
        <v>A/04/Khá</v>
      </c>
      <c r="AC30" s="128">
        <f>IF(NSTonghop!$E30&lt;&gt;0,0,NSTonghop!AC30)</f>
        <v>0</v>
      </c>
      <c r="AD30" s="128">
        <f>IF(NSTonghop!$E30&lt;&gt;0,0,NSTonghop!AD30)</f>
        <v>0</v>
      </c>
      <c r="AE30" s="128">
        <f>IF(NSTonghop!$E30&lt;&gt;0,0,NSTonghop!AE30)</f>
        <v>0</v>
      </c>
      <c r="AF30" s="128">
        <f>IF(NSTonghop!$E30&lt;&gt;0,0,NSTonghop!AF30)</f>
        <v>0</v>
      </c>
      <c r="AG30" s="128" t="str">
        <f>IF(NSTonghop!$E30&lt;&gt;0,0,NSTonghop!AG30)</f>
        <v>V.07.04.11</v>
      </c>
      <c r="AH30" s="128" t="str">
        <f>IF(NSTonghop!$E30&lt;&gt;0,0,NSTonghop!AH30)</f>
        <v>CN/15/Khá</v>
      </c>
      <c r="AI30" s="128">
        <f>IF(NSTonghop!$E30&lt;&gt;0,0,NSTonghop!AI30)</f>
        <v>5096017234</v>
      </c>
      <c r="AJ30" s="128">
        <f>IF(NSTonghop!$E30&lt;&gt;0,0,NSTonghop!AJ30)</f>
        <v>350610513</v>
      </c>
      <c r="AK30" s="128" t="str">
        <f>IF(NSTonghop!$E30&lt;&gt;0,0,NSTonghop!AK30)</f>
        <v>26/07/2013</v>
      </c>
      <c r="AL30" s="128" t="str">
        <f>IF(NSTonghop!$E30&lt;&gt;0,0,NSTonghop!AL30)</f>
        <v>01/09/1980</v>
      </c>
      <c r="AM30" s="128" t="str">
        <f>IF(NSTonghop!$E30&lt;&gt;0,0,NSTonghop!AM30)</f>
        <v>25/08/1993</v>
      </c>
      <c r="AN30" s="128" t="str">
        <f>IF(NSTonghop!$E30&lt;&gt;0,0,NSTonghop!AN30)</f>
        <v>01/08/1981</v>
      </c>
      <c r="AO30" s="128" t="str">
        <f>IF(NSTonghop!$E30&lt;&gt;0,0,NSTonghop!AO30)</f>
        <v>25/09/2010</v>
      </c>
      <c r="AP30" s="128" t="str">
        <f>IF(NSTonghop!$E30&lt;&gt;0,0,NSTonghop!AP30)</f>
        <v>31.045 196</v>
      </c>
      <c r="AQ30" s="128">
        <f>IF(NSTonghop!$E30&lt;&gt;0,0,NSTonghop!AQ30)</f>
        <v>2010</v>
      </c>
      <c r="AR30" s="128">
        <f>IF(NSTonghop!$E30&lt;&gt;0,0,NSTonghop!AR30)</f>
        <v>0</v>
      </c>
      <c r="AS30" s="128">
        <f>IF(NSTonghop!$E30&lt;&gt;0,0,NSTonghop!AS30)</f>
        <v>0</v>
      </c>
      <c r="AT30" s="128" t="str">
        <f>IF(NSTonghop!$E30&lt;&gt;0,0,NSTonghop!AT30)</f>
        <v>0 766882827</v>
      </c>
      <c r="AU30" s="212"/>
    </row>
    <row r="31" spans="1:47" s="118" customFormat="1" x14ac:dyDescent="0.25">
      <c r="A31" s="220"/>
      <c r="B31" s="128">
        <f>IF(F31&lt;&gt;0,MAX($B$8:B30)+1,"")</f>
        <v>21</v>
      </c>
      <c r="C31" s="132">
        <f>IF(F31=0,0,MAX($C$20:C30)+1)</f>
        <v>11</v>
      </c>
      <c r="D31" s="133">
        <f>IF(NSTonghop!$E31&lt;&gt;0,0,NSTonghop!D31)</f>
        <v>1237</v>
      </c>
      <c r="E31" s="128">
        <f>IF(NSTonghop!E31&lt;&gt;0,0,0)</f>
        <v>0</v>
      </c>
      <c r="F31" s="128" t="str">
        <f>IF(NSTonghop!$E31&lt;&gt;0,0,NSTonghop!F31)</f>
        <v>Phạm Thị Ba</v>
      </c>
      <c r="G31" s="128" t="str">
        <f>IF(NSTonghop!$E31&lt;&gt;0,0,NSTonghop!G31)</f>
        <v>x</v>
      </c>
      <c r="H31" s="128">
        <f>IF(NSTonghop!$E31&lt;&gt;0,0,NSTonghop!H31)</f>
        <v>0</v>
      </c>
      <c r="I31" s="128" t="str">
        <f>IF(NSTonghop!$E31&lt;&gt;0,0,NSTonghop!I31)</f>
        <v>27/06/1965</v>
      </c>
      <c r="J31" s="128">
        <f>IF(NSTonghop!$E31&lt;&gt;0,0,NSTonghop!J31)</f>
        <v>0</v>
      </c>
      <c r="K31" s="128">
        <f>IF(NSTonghop!$E31&lt;&gt;0,0,NSTonghop!K31)</f>
        <v>1965</v>
      </c>
      <c r="L31" s="128" t="str">
        <f>IF(NSTonghop!$E31&lt;&gt;0,0,NSTonghop!L31)</f>
        <v>GV</v>
      </c>
      <c r="M31" s="128">
        <f>IF(NSTonghop!$E31&lt;&gt;0,0,NSTonghop!M31)</f>
        <v>0</v>
      </c>
      <c r="N31" s="128" t="str">
        <f>IF(NSTonghop!$E31&lt;&gt;0,0,NSTonghop!N31)</f>
        <v>Phật</v>
      </c>
      <c r="O31" s="128" t="str">
        <f>IF(NSTonghop!$E31&lt;&gt;0,0,NSTonghop!O31)</f>
        <v>Nông dân</v>
      </c>
      <c r="P31" s="128" t="str">
        <f>IF(NSTonghop!$E31&lt;&gt;0,0,NSTonghop!P31)</f>
        <v>Vĩnh Xương-An Giang</v>
      </c>
      <c r="Q31" s="128" t="str">
        <f>IF(NSTonghop!$E31&lt;&gt;0,0,NSTonghop!Q31)</f>
        <v>Long An-Tân Châu</v>
      </c>
      <c r="R31" s="128" t="str">
        <f>IF(NSTonghop!$E31&lt;&gt;0,0,NSTonghop!R31)</f>
        <v>203/7 Vĩnh Phú-VTT</v>
      </c>
      <c r="S31" s="128" t="str">
        <f>IF(NSTonghop!$E31&lt;&gt;0,0,NSTonghop!S31)</f>
        <v>PTTH/84/TB</v>
      </c>
      <c r="T31" s="128" t="str">
        <f>IF(NSTonghop!$E31&lt;&gt;0,0,NSTonghop!T31)</f>
        <v>CĐ3/Văn-KTPT/88/TB</v>
      </c>
      <c r="U31" s="128" t="str">
        <f>IF(NSTonghop!$E31&lt;&gt;0,0,NSTonghop!U31)</f>
        <v>ĐHTX/Văn/04/TBK</v>
      </c>
      <c r="V31" s="128">
        <f>IF(NSTonghop!$E31&lt;&gt;0,0,NSTonghop!V31)</f>
        <v>0</v>
      </c>
      <c r="W31" s="128" t="str">
        <f>IF(NSTonghop!$E31&lt;&gt;0,0,NSTonghop!W31)</f>
        <v>ĐHTX</v>
      </c>
      <c r="X31" s="128" t="str">
        <f>IF(NSTonghop!$E31&lt;&gt;0,0,NSTonghop!X31)</f>
        <v>Văn</v>
      </c>
      <c r="Y31" s="128" t="str">
        <f>IF(NSTonghop!$E31&lt;&gt;0,0,NSTonghop!Y31)</f>
        <v>Văn</v>
      </c>
      <c r="Z31" s="128">
        <f>IF(NSTonghop!$E31&lt;&gt;0,0,NSTonghop!Z31)</f>
        <v>0</v>
      </c>
      <c r="AA31" s="128">
        <f>IF(NSTonghop!$E31&lt;&gt;0,0,NSTonghop!AA31)</f>
        <v>0</v>
      </c>
      <c r="AB31" s="128" t="str">
        <f>IF(NSTonghop!$E31&lt;&gt;0,0,NSTonghop!AB31)</f>
        <v>A/08/Giỏi</v>
      </c>
      <c r="AC31" s="128">
        <f>IF(NSTonghop!$E31&lt;&gt;0,0,NSTonghop!AC31)</f>
        <v>0</v>
      </c>
      <c r="AD31" s="128">
        <f>IF(NSTonghop!$E31&lt;&gt;0,0,NSTonghop!AD31)</f>
        <v>0</v>
      </c>
      <c r="AE31" s="128">
        <f>IF(NSTonghop!$E31&lt;&gt;0,0,NSTonghop!AE31)</f>
        <v>0</v>
      </c>
      <c r="AF31" s="128">
        <f>IF(NSTonghop!$E31&lt;&gt;0,0,NSTonghop!AF31)</f>
        <v>0</v>
      </c>
      <c r="AG31" s="128" t="str">
        <f>IF(NSTonghop!$E31&lt;&gt;0,0,NSTonghop!AG31)</f>
        <v>V.07.04.11</v>
      </c>
      <c r="AH31" s="128" t="str">
        <f>IF(NSTonghop!$E31&lt;&gt;0,0,NSTonghop!AH31)</f>
        <v>CN/10/Giỏi</v>
      </c>
      <c r="AI31" s="128">
        <f>IF(NSTonghop!$E31&lt;&gt;0,0,NSTonghop!AI31)</f>
        <v>5096017039</v>
      </c>
      <c r="AJ31" s="128">
        <f>IF(NSTonghop!$E31&lt;&gt;0,0,NSTonghop!AJ31)</f>
        <v>350725979</v>
      </c>
      <c r="AK31" s="128" t="str">
        <f>IF(NSTonghop!$E31&lt;&gt;0,0,NSTonghop!AK31)</f>
        <v>13/07/2010</v>
      </c>
      <c r="AL31" s="128" t="str">
        <f>IF(NSTonghop!$E31&lt;&gt;0,0,NSTonghop!AL31)</f>
        <v>01/09/1988</v>
      </c>
      <c r="AM31" s="128" t="str">
        <f>IF(NSTonghop!$E31&lt;&gt;0,0,NSTonghop!AM31)</f>
        <v>08/08/1997</v>
      </c>
      <c r="AN31" s="128" t="str">
        <f>IF(NSTonghop!$E31&lt;&gt;0,0,NSTonghop!AN31)</f>
        <v>01/10/1990</v>
      </c>
      <c r="AO31" s="128" t="str">
        <f>IF(NSTonghop!$E31&lt;&gt;0,0,NSTonghop!AO31)</f>
        <v>05/10/2005</v>
      </c>
      <c r="AP31" s="128" t="str">
        <f>IF(NSTonghop!$E31&lt;&gt;0,0,NSTonghop!AP31)</f>
        <v>31.031 054</v>
      </c>
      <c r="AQ31" s="128">
        <f>IF(NSTonghop!$E31&lt;&gt;0,0,NSTonghop!AQ31)</f>
        <v>2005</v>
      </c>
      <c r="AR31" s="128">
        <f>IF(NSTonghop!$E31&lt;&gt;0,0,NSTonghop!AR31)</f>
        <v>0</v>
      </c>
      <c r="AS31" s="128">
        <f>IF(NSTonghop!$E31&lt;&gt;0,0,NSTonghop!AS31)</f>
        <v>0</v>
      </c>
      <c r="AT31" s="128" t="str">
        <f>IF(NSTonghop!$E31&lt;&gt;0,0,NSTonghop!AT31)</f>
        <v>0355137981</v>
      </c>
      <c r="AU31" s="212"/>
    </row>
    <row r="32" spans="1:47" s="118" customFormat="1" x14ac:dyDescent="0.25">
      <c r="A32" s="220"/>
      <c r="B32" s="128" t="str">
        <f>IF(F32&lt;&gt;0,MAX($B$8:B31)+1,"")</f>
        <v/>
      </c>
      <c r="C32" s="132">
        <f>IF(F32=0,0,MAX($C$20:C31)+1)</f>
        <v>0</v>
      </c>
      <c r="D32" s="441">
        <f>IF(NSTonghop!$E32&lt;&gt;0,0,NSTonghop!D32)</f>
        <v>0</v>
      </c>
      <c r="E32" s="128">
        <f>IF(NSTonghop!E32&lt;&gt;0,0,0)</f>
        <v>0</v>
      </c>
      <c r="F32" s="128">
        <f>IF(NSTonghop!$E32&lt;&gt;0,0,NSTonghop!F32)</f>
        <v>0</v>
      </c>
      <c r="G32" s="128">
        <f>IF(NSTonghop!$E32&lt;&gt;0,0,NSTonghop!G32)</f>
        <v>0</v>
      </c>
      <c r="H32" s="128">
        <f>IF(NSTonghop!$E32&lt;&gt;0,0,NSTonghop!H32)</f>
        <v>0</v>
      </c>
      <c r="I32" s="128">
        <f>IF(NSTonghop!$E32&lt;&gt;0,0,NSTonghop!I32)</f>
        <v>0</v>
      </c>
      <c r="J32" s="128">
        <f>IF(NSTonghop!$E32&lt;&gt;0,0,NSTonghop!J32)</f>
        <v>0</v>
      </c>
      <c r="K32" s="128">
        <f>IF(NSTonghop!$E32&lt;&gt;0,0,NSTonghop!K32)</f>
        <v>0</v>
      </c>
      <c r="L32" s="128">
        <f>IF(NSTonghop!$E32&lt;&gt;0,0,NSTonghop!L32)</f>
        <v>0</v>
      </c>
      <c r="M32" s="128">
        <f>IF(NSTonghop!$E32&lt;&gt;0,0,NSTonghop!M32)</f>
        <v>0</v>
      </c>
      <c r="N32" s="128">
        <f>IF(NSTonghop!$E32&lt;&gt;0,0,NSTonghop!N32)</f>
        <v>0</v>
      </c>
      <c r="O32" s="128">
        <f>IF(NSTonghop!$E32&lt;&gt;0,0,NSTonghop!O32)</f>
        <v>0</v>
      </c>
      <c r="P32" s="128">
        <f>IF(NSTonghop!$E32&lt;&gt;0,0,NSTonghop!P32)</f>
        <v>0</v>
      </c>
      <c r="Q32" s="128">
        <f>IF(NSTonghop!$E32&lt;&gt;0,0,NSTonghop!Q32)</f>
        <v>0</v>
      </c>
      <c r="R32" s="128">
        <f>IF(NSTonghop!$E32&lt;&gt;0,0,NSTonghop!R32)</f>
        <v>0</v>
      </c>
      <c r="S32" s="128">
        <f>IF(NSTonghop!$E32&lt;&gt;0,0,NSTonghop!S32)</f>
        <v>0</v>
      </c>
      <c r="T32" s="128">
        <f>IF(NSTonghop!$E32&lt;&gt;0,0,NSTonghop!T32)</f>
        <v>0</v>
      </c>
      <c r="U32" s="128">
        <f>IF(NSTonghop!$E32&lt;&gt;0,0,NSTonghop!U32)</f>
        <v>0</v>
      </c>
      <c r="V32" s="128">
        <f>IF(NSTonghop!$E32&lt;&gt;0,0,NSTonghop!V32)</f>
        <v>0</v>
      </c>
      <c r="W32" s="128">
        <f>IF(NSTonghop!$E32&lt;&gt;0,0,NSTonghop!W32)</f>
        <v>0</v>
      </c>
      <c r="X32" s="128">
        <f>IF(NSTonghop!$E32&lt;&gt;0,0,NSTonghop!X32)</f>
        <v>0</v>
      </c>
      <c r="Y32" s="128">
        <f>IF(NSTonghop!$E32&lt;&gt;0,0,NSTonghop!Y32)</f>
        <v>0</v>
      </c>
      <c r="Z32" s="128">
        <f>IF(NSTonghop!$E32&lt;&gt;0,0,NSTonghop!Z32)</f>
        <v>0</v>
      </c>
      <c r="AA32" s="128">
        <f>IF(NSTonghop!$E32&lt;&gt;0,0,NSTonghop!AA32)</f>
        <v>0</v>
      </c>
      <c r="AB32" s="128">
        <f>IF(NSTonghop!$E32&lt;&gt;0,0,NSTonghop!AB32)</f>
        <v>0</v>
      </c>
      <c r="AC32" s="128">
        <f>IF(NSTonghop!$E32&lt;&gt;0,0,NSTonghop!AC32)</f>
        <v>0</v>
      </c>
      <c r="AD32" s="128">
        <f>IF(NSTonghop!$E32&lt;&gt;0,0,NSTonghop!AD32)</f>
        <v>0</v>
      </c>
      <c r="AE32" s="128">
        <f>IF(NSTonghop!$E32&lt;&gt;0,0,NSTonghop!AE32)</f>
        <v>0</v>
      </c>
      <c r="AF32" s="128">
        <f>IF(NSTonghop!$E32&lt;&gt;0,0,NSTonghop!AF32)</f>
        <v>0</v>
      </c>
      <c r="AG32" s="128">
        <f>IF(NSTonghop!$E32&lt;&gt;0,0,NSTonghop!AG32)</f>
        <v>0</v>
      </c>
      <c r="AH32" s="128">
        <f>IF(NSTonghop!$E32&lt;&gt;0,0,NSTonghop!AH32)</f>
        <v>0</v>
      </c>
      <c r="AI32" s="128">
        <f>IF(NSTonghop!$E32&lt;&gt;0,0,NSTonghop!AI32)</f>
        <v>0</v>
      </c>
      <c r="AJ32" s="128">
        <f>IF(NSTonghop!$E32&lt;&gt;0,0,NSTonghop!AJ32)</f>
        <v>0</v>
      </c>
      <c r="AK32" s="128">
        <f>IF(NSTonghop!$E32&lt;&gt;0,0,NSTonghop!AK32)</f>
        <v>0</v>
      </c>
      <c r="AL32" s="128">
        <f>IF(NSTonghop!$E32&lt;&gt;0,0,NSTonghop!AL32)</f>
        <v>0</v>
      </c>
      <c r="AM32" s="128">
        <f>IF(NSTonghop!$E32&lt;&gt;0,0,NSTonghop!AM32)</f>
        <v>0</v>
      </c>
      <c r="AN32" s="128">
        <f>IF(NSTonghop!$E32&lt;&gt;0,0,NSTonghop!AN32)</f>
        <v>0</v>
      </c>
      <c r="AO32" s="128">
        <f>IF(NSTonghop!$E32&lt;&gt;0,0,NSTonghop!AO32)</f>
        <v>0</v>
      </c>
      <c r="AP32" s="128">
        <f>IF(NSTonghop!$E32&lt;&gt;0,0,NSTonghop!AP32)</f>
        <v>0</v>
      </c>
      <c r="AQ32" s="128">
        <f>IF(NSTonghop!$E32&lt;&gt;0,0,NSTonghop!AQ32)</f>
        <v>0</v>
      </c>
      <c r="AR32" s="128">
        <f>IF(NSTonghop!$E32&lt;&gt;0,0,NSTonghop!AR32)</f>
        <v>0</v>
      </c>
      <c r="AS32" s="128">
        <f>IF(NSTonghop!$E32&lt;&gt;0,0,NSTonghop!AS32)</f>
        <v>0</v>
      </c>
      <c r="AT32" s="128">
        <f>IF(NSTonghop!$E32&lt;&gt;0,0,NSTonghop!AT32)</f>
        <v>0</v>
      </c>
      <c r="AU32" s="212"/>
    </row>
    <row r="33" spans="1:47" s="118" customFormat="1" x14ac:dyDescent="0.25">
      <c r="A33" s="220"/>
      <c r="B33" s="142" t="str">
        <f>IF(F33&lt;&gt;0,MAX($B$8:B32)+1,"")</f>
        <v/>
      </c>
      <c r="C33" s="143">
        <f>IF(F33=0,0,MAX($C$20:C32)+1)</f>
        <v>0</v>
      </c>
      <c r="D33" s="144">
        <f>IF(NSTonghop!$E33&lt;&gt;0,0,NSTonghop!D33)</f>
        <v>0</v>
      </c>
      <c r="E33" s="142">
        <f>IF(NSTonghop!E33&lt;&gt;0,0,0)</f>
        <v>0</v>
      </c>
      <c r="F33" s="142">
        <f>IF(NSTonghop!$E33&lt;&gt;0,0,NSTonghop!F33)</f>
        <v>0</v>
      </c>
      <c r="G33" s="142">
        <f>IF(NSTonghop!$E33&lt;&gt;0,0,NSTonghop!G33)</f>
        <v>0</v>
      </c>
      <c r="H33" s="142">
        <f>IF(NSTonghop!$E33&lt;&gt;0,0,NSTonghop!H33)</f>
        <v>0</v>
      </c>
      <c r="I33" s="142">
        <f>IF(NSTonghop!$E33&lt;&gt;0,0,NSTonghop!I33)</f>
        <v>0</v>
      </c>
      <c r="J33" s="142">
        <f>IF(NSTonghop!$E33&lt;&gt;0,0,NSTonghop!J33)</f>
        <v>0</v>
      </c>
      <c r="K33" s="142">
        <f>IF(NSTonghop!$E33&lt;&gt;0,0,NSTonghop!K33)</f>
        <v>0</v>
      </c>
      <c r="L33" s="142">
        <f>IF(NSTonghop!$E33&lt;&gt;0,0,NSTonghop!L33)</f>
        <v>0</v>
      </c>
      <c r="M33" s="142">
        <f>IF(NSTonghop!$E33&lt;&gt;0,0,NSTonghop!M33)</f>
        <v>0</v>
      </c>
      <c r="N33" s="142">
        <f>IF(NSTonghop!$E33&lt;&gt;0,0,NSTonghop!N33)</f>
        <v>0</v>
      </c>
      <c r="O33" s="142">
        <f>IF(NSTonghop!$E33&lt;&gt;0,0,NSTonghop!O33)</f>
        <v>0</v>
      </c>
      <c r="P33" s="142">
        <f>IF(NSTonghop!$E33&lt;&gt;0,0,NSTonghop!P33)</f>
        <v>0</v>
      </c>
      <c r="Q33" s="142">
        <f>IF(NSTonghop!$E33&lt;&gt;0,0,NSTonghop!Q33)</f>
        <v>0</v>
      </c>
      <c r="R33" s="142">
        <f>IF(NSTonghop!$E33&lt;&gt;0,0,NSTonghop!R33)</f>
        <v>0</v>
      </c>
      <c r="S33" s="142">
        <f>IF(NSTonghop!$E33&lt;&gt;0,0,NSTonghop!S33)</f>
        <v>0</v>
      </c>
      <c r="T33" s="142">
        <f>IF(NSTonghop!$E33&lt;&gt;0,0,NSTonghop!T33)</f>
        <v>0</v>
      </c>
      <c r="U33" s="142">
        <f>IF(NSTonghop!$E33&lt;&gt;0,0,NSTonghop!U33)</f>
        <v>0</v>
      </c>
      <c r="V33" s="142">
        <f>IF(NSTonghop!$E33&lt;&gt;0,0,NSTonghop!V33)</f>
        <v>0</v>
      </c>
      <c r="W33" s="142">
        <f>IF(NSTonghop!$E33&lt;&gt;0,0,NSTonghop!W33)</f>
        <v>0</v>
      </c>
      <c r="X33" s="142">
        <f>IF(NSTonghop!$E33&lt;&gt;0,0,NSTonghop!X33)</f>
        <v>0</v>
      </c>
      <c r="Y33" s="142">
        <f>IF(NSTonghop!$E33&lt;&gt;0,0,NSTonghop!Y33)</f>
        <v>0</v>
      </c>
      <c r="Z33" s="142">
        <f>IF(NSTonghop!$E33&lt;&gt;0,0,NSTonghop!Z33)</f>
        <v>0</v>
      </c>
      <c r="AA33" s="142">
        <f>IF(NSTonghop!$E33&lt;&gt;0,0,NSTonghop!AA33)</f>
        <v>0</v>
      </c>
      <c r="AB33" s="142">
        <f>IF(NSTonghop!$E33&lt;&gt;0,0,NSTonghop!AB33)</f>
        <v>0</v>
      </c>
      <c r="AC33" s="142">
        <f>IF(NSTonghop!$E33&lt;&gt;0,0,NSTonghop!AC33)</f>
        <v>0</v>
      </c>
      <c r="AD33" s="142">
        <f>IF(NSTonghop!$E33&lt;&gt;0,0,NSTonghop!AD33)</f>
        <v>0</v>
      </c>
      <c r="AE33" s="142">
        <f>IF(NSTonghop!$E33&lt;&gt;0,0,NSTonghop!AE33)</f>
        <v>0</v>
      </c>
      <c r="AF33" s="142">
        <f>IF(NSTonghop!$E33&lt;&gt;0,0,NSTonghop!AF33)</f>
        <v>0</v>
      </c>
      <c r="AG33" s="142">
        <f>IF(NSTonghop!$E33&lt;&gt;0,0,NSTonghop!AG33)</f>
        <v>0</v>
      </c>
      <c r="AH33" s="142">
        <f>IF(NSTonghop!$E33&lt;&gt;0,0,NSTonghop!AH33)</f>
        <v>0</v>
      </c>
      <c r="AI33" s="142">
        <f>IF(NSTonghop!$E33&lt;&gt;0,0,NSTonghop!AI33)</f>
        <v>0</v>
      </c>
      <c r="AJ33" s="142">
        <f>IF(NSTonghop!$E33&lt;&gt;0,0,NSTonghop!AJ33)</f>
        <v>0</v>
      </c>
      <c r="AK33" s="142">
        <f>IF(NSTonghop!$E33&lt;&gt;0,0,NSTonghop!AK33)</f>
        <v>0</v>
      </c>
      <c r="AL33" s="142">
        <f>IF(NSTonghop!$E33&lt;&gt;0,0,NSTonghop!AL33)</f>
        <v>0</v>
      </c>
      <c r="AM33" s="142">
        <f>IF(NSTonghop!$E33&lt;&gt;0,0,NSTonghop!AM33)</f>
        <v>0</v>
      </c>
      <c r="AN33" s="142">
        <f>IF(NSTonghop!$E33&lt;&gt;0,0,NSTonghop!AN33)</f>
        <v>0</v>
      </c>
      <c r="AO33" s="142">
        <f>IF(NSTonghop!$E33&lt;&gt;0,0,NSTonghop!AO33)</f>
        <v>0</v>
      </c>
      <c r="AP33" s="142">
        <f>IF(NSTonghop!$E33&lt;&gt;0,0,NSTonghop!AP33)</f>
        <v>0</v>
      </c>
      <c r="AQ33" s="142">
        <f>IF(NSTonghop!$E33&lt;&gt;0,0,NSTonghop!AQ33)</f>
        <v>0</v>
      </c>
      <c r="AR33" s="142">
        <f>IF(NSTonghop!$E33&lt;&gt;0,0,NSTonghop!AR33)</f>
        <v>0</v>
      </c>
      <c r="AS33" s="142">
        <f>IF(NSTonghop!$E33&lt;&gt;0,0,NSTonghop!AS33)</f>
        <v>0</v>
      </c>
      <c r="AT33" s="142">
        <f>IF(NSTonghop!$E33&lt;&gt;0,0,NSTonghop!AT33)</f>
        <v>0</v>
      </c>
      <c r="AU33" s="212"/>
    </row>
    <row r="34" spans="1:47" x14ac:dyDescent="0.25">
      <c r="A34" s="220"/>
      <c r="B34" s="151">
        <f>IF(F34&lt;&gt;0,MAX($B$8:B33)+1,"")</f>
        <v>22</v>
      </c>
      <c r="C34" s="152">
        <f>IF(F34=0,0,1)</f>
        <v>1</v>
      </c>
      <c r="D34" s="441">
        <f>IF(NSTonghop!$E34&lt;&gt;0,0,NSTonghop!D34)</f>
        <v>39240</v>
      </c>
      <c r="E34" s="151">
        <f>IF(NSTonghop!E34&lt;&gt;0,0,0)</f>
        <v>0</v>
      </c>
      <c r="F34" s="151" t="str">
        <f>IF(NSTonghop!$E34&lt;&gt;0,0,NSTonghop!F34)</f>
        <v>Trịnh Công Vĩnh</v>
      </c>
      <c r="G34" s="151">
        <f>IF(NSTonghop!$E34&lt;&gt;0,0,NSTonghop!G34)</f>
        <v>0</v>
      </c>
      <c r="H34" s="151" t="str">
        <f>IF(NSTonghop!$E34&lt;&gt;0,0,NSTonghop!H34)</f>
        <v>09/01/1986</v>
      </c>
      <c r="I34" s="151">
        <f>IF(NSTonghop!$E34&lt;&gt;0,0,NSTonghop!I34)</f>
        <v>0</v>
      </c>
      <c r="J34" s="151">
        <f>IF(NSTonghop!$E34&lt;&gt;0,0,NSTonghop!J34)</f>
        <v>1986</v>
      </c>
      <c r="K34" s="151">
        <f>IF(NSTonghop!$E34&lt;&gt;0,0,NSTonghop!K34)</f>
        <v>0</v>
      </c>
      <c r="L34" s="151" t="str">
        <f>IF(NSTonghop!$E34&lt;&gt;0,0,NSTonghop!L34)</f>
        <v>GV</v>
      </c>
      <c r="M34" s="151">
        <f>IF(NSTonghop!$E34&lt;&gt;0,0,NSTonghop!M34)</f>
        <v>0</v>
      </c>
      <c r="N34" s="151">
        <f>IF(NSTonghop!$E34&lt;&gt;0,0,NSTonghop!N34)</f>
        <v>0</v>
      </c>
      <c r="O34" s="151" t="str">
        <f>IF(NSTonghop!$E34&lt;&gt;0,0,NSTonghop!O34)</f>
        <v>Nông dân</v>
      </c>
      <c r="P34" s="151" t="str">
        <f>IF(NSTonghop!$E34&lt;&gt;0,0,NSTonghop!P34)</f>
        <v>Vĩnh Thạnh Trung-An Giang</v>
      </c>
      <c r="Q34" s="151" t="str">
        <f>IF(NSTonghop!$E34&lt;&gt;0,0,NSTonghop!Q34)</f>
        <v>Vĩnh Thạnh Trung-Châu Phú</v>
      </c>
      <c r="R34" s="151" t="str">
        <f>IF(NSTonghop!$E34&lt;&gt;0,0,NSTonghop!R34)</f>
        <v>261/12 Vĩnh Lợi-VTT</v>
      </c>
      <c r="S34" s="151" t="str">
        <f>IF(NSTonghop!$E34&lt;&gt;0,0,NSTonghop!S34)</f>
        <v>PTTH/04/TB</v>
      </c>
      <c r="T34" s="151" t="str">
        <f>IF(NSTonghop!$E34&lt;&gt;0,0,NSTonghop!T34)</f>
        <v>ĐHCQ/Sử/09/TBK</v>
      </c>
      <c r="U34" s="151">
        <f>IF(NSTonghop!$E34&lt;&gt;0,0,NSTonghop!U34)</f>
        <v>0</v>
      </c>
      <c r="V34" s="151">
        <f>IF(NSTonghop!$E34&lt;&gt;0,0,NSTonghop!V34)</f>
        <v>0</v>
      </c>
      <c r="W34" s="151" t="str">
        <f>IF(NSTonghop!$E34&lt;&gt;0,0,NSTonghop!W34)</f>
        <v>ĐHCQ</v>
      </c>
      <c r="X34" s="151" t="str">
        <f>IF(NSTonghop!$E34&lt;&gt;0,0,NSTonghop!X34)</f>
        <v>Sử</v>
      </c>
      <c r="Y34" s="151" t="str">
        <f>IF(NSTonghop!$E34&lt;&gt;0,0,NSTonghop!Y34)</f>
        <v>Sử</v>
      </c>
      <c r="Z34" s="151" t="str">
        <f>IF(NSTonghop!$E34&lt;&gt;0,0,NSTonghop!Z34)</f>
        <v>QLTHCS/19</v>
      </c>
      <c r="AA34" s="151" t="str">
        <f>IF(NSTonghop!$E34&lt;&gt;0,0,NSTonghop!AA34)</f>
        <v>SC/18</v>
      </c>
      <c r="AB34" s="151" t="str">
        <f>IF(NSTonghop!$E34&lt;&gt;0,0,NSTonghop!AB34)</f>
        <v>A/09/TB</v>
      </c>
      <c r="AC34" s="151" t="str">
        <f>IF(NSTonghop!$E34&lt;&gt;0,0,NSTonghop!AC34)</f>
        <v>B/Anh/09/TB</v>
      </c>
      <c r="AD34" s="151">
        <f>IF(NSTonghop!$E34&lt;&gt;0,0,NSTonghop!AD34)</f>
        <v>0</v>
      </c>
      <c r="AE34" s="151">
        <f>IF(NSTonghop!$E34&lt;&gt;0,0,NSTonghop!AE34)</f>
        <v>0</v>
      </c>
      <c r="AF34" s="151">
        <f>IF(NSTonghop!$E34&lt;&gt;0,0,NSTonghop!AF34)</f>
        <v>0</v>
      </c>
      <c r="AG34" s="151" t="str">
        <f>IF(NSTonghop!$E34&lt;&gt;0,0,NSTonghop!AG34)</f>
        <v>V.07.04.11</v>
      </c>
      <c r="AH34" s="151" t="str">
        <f>IF(NSTonghop!$E34&lt;&gt;0,0,NSTonghop!AH34)</f>
        <v>CN/11/Khá</v>
      </c>
      <c r="AI34" s="151">
        <f>IF(NSTonghop!$E34&lt;&gt;0,0,NSTonghop!AI34)</f>
        <v>8911005621</v>
      </c>
      <c r="AJ34" s="151">
        <f>IF(NSTonghop!$E34&lt;&gt;0,0,NSTonghop!AJ34)</f>
        <v>351803204</v>
      </c>
      <c r="AK34" s="151" t="str">
        <f>IF(NSTonghop!$E34&lt;&gt;0,0,NSTonghop!AK34)</f>
        <v>21/12/2018</v>
      </c>
      <c r="AL34" s="151" t="str">
        <f>IF(NSTonghop!$E34&lt;&gt;0,0,NSTonghop!AL34)</f>
        <v>01/09/2012</v>
      </c>
      <c r="AM34" s="151" t="str">
        <f>IF(NSTonghop!$E34&lt;&gt;0,0,NSTonghop!AM34)</f>
        <v>01/09/2012</v>
      </c>
      <c r="AN34" s="151" t="str">
        <f>IF(NSTonghop!$E34&lt;&gt;0,0,NSTonghop!AN34)</f>
        <v>01/09/2013</v>
      </c>
      <c r="AO34" s="151" t="str">
        <f>IF(NSTonghop!$E34&lt;&gt;0,0,NSTonghop!AO34)</f>
        <v>24/01/2015</v>
      </c>
      <c r="AP34" s="151" t="str">
        <f>IF(NSTonghop!$E34&lt;&gt;0,0,NSTonghop!AP34)</f>
        <v>Chưa thẻ</v>
      </c>
      <c r="AQ34" s="151">
        <f>IF(NSTonghop!$E34&lt;&gt;0,0,NSTonghop!AQ34)</f>
        <v>2015</v>
      </c>
      <c r="AR34" s="151" t="str">
        <f>IF(NSTonghop!$E34&lt;&gt;0,0,NSTonghop!AR34)</f>
        <v>06/4/2001</v>
      </c>
      <c r="AS34" s="151" t="str">
        <f>IF(NSTonghop!$E34&lt;&gt;0,0,NSTonghop!AS34)</f>
        <v>25/11/2012</v>
      </c>
      <c r="AT34" s="151" t="str">
        <f>IF(NSTonghop!$E34&lt;&gt;0,0,NSTonghop!AT34)</f>
        <v>0387050052</v>
      </c>
      <c r="AU34" s="212"/>
    </row>
    <row r="35" spans="1:47" x14ac:dyDescent="0.25">
      <c r="A35" s="220"/>
      <c r="B35" s="162">
        <f>IF(F35&lt;&gt;0,MAX($B$8:B34)+1,"")</f>
        <v>23</v>
      </c>
      <c r="C35" s="163">
        <f>IF(F35=0,0,MAX($C$34:C34)+1)</f>
        <v>2</v>
      </c>
      <c r="D35" s="441">
        <f>IF(NSTonghop!$E35&lt;&gt;0,0,NSTonghop!D35)</f>
        <v>31255</v>
      </c>
      <c r="E35" s="162">
        <f>IF(NSTonghop!E35&lt;&gt;0,0,0)</f>
        <v>0</v>
      </c>
      <c r="F35" s="162" t="str">
        <f>IF(NSTonghop!$E35&lt;&gt;0,0,NSTonghop!F35)</f>
        <v>Trần Thị Kim Hương</v>
      </c>
      <c r="G35" s="162" t="str">
        <f>IF(NSTonghop!$E35&lt;&gt;0,0,NSTonghop!G35)</f>
        <v>x</v>
      </c>
      <c r="H35" s="162">
        <f>IF(NSTonghop!$E35&lt;&gt;0,0,NSTonghop!H35)</f>
        <v>0</v>
      </c>
      <c r="I35" s="162" t="str">
        <f>IF(NSTonghop!$E35&lt;&gt;0,0,NSTonghop!I35)</f>
        <v>25/08/1986</v>
      </c>
      <c r="J35" s="162">
        <f>IF(NSTonghop!$E35&lt;&gt;0,0,NSTonghop!J35)</f>
        <v>0</v>
      </c>
      <c r="K35" s="162">
        <f>IF(NSTonghop!$E35&lt;&gt;0,0,NSTonghop!K35)</f>
        <v>1986</v>
      </c>
      <c r="L35" s="162" t="str">
        <f>IF(NSTonghop!$E35&lt;&gt;0,0,NSTonghop!L35)</f>
        <v>GV</v>
      </c>
      <c r="M35" s="162">
        <f>IF(NSTonghop!$E35&lt;&gt;0,0,NSTonghop!M35)</f>
        <v>0</v>
      </c>
      <c r="N35" s="162" t="str">
        <f>IF(NSTonghop!$E35&lt;&gt;0,0,NSTonghop!N35)</f>
        <v>Hòa Hảo</v>
      </c>
      <c r="O35" s="162" t="str">
        <f>IF(NSTonghop!$E35&lt;&gt;0,0,NSTonghop!O35)</f>
        <v>Nông dân</v>
      </c>
      <c r="P35" s="162" t="str">
        <f>IF(NSTonghop!$E35&lt;&gt;0,0,NSTonghop!P35)</f>
        <v>Vĩnh Thạnh Trung-An Giang</v>
      </c>
      <c r="Q35" s="162" t="str">
        <f>IF(NSTonghop!$E35&lt;&gt;0,0,NSTonghop!Q35)</f>
        <v>Vĩnh Thạnh Trung-Châu Phú</v>
      </c>
      <c r="R35" s="162" t="str">
        <f>IF(NSTonghop!$E35&lt;&gt;0,0,NSTonghop!R35)</f>
        <v>3 Thạnh Lợi-VTT</v>
      </c>
      <c r="S35" s="162" t="str">
        <f>IF(NSTonghop!$E35&lt;&gt;0,0,NSTonghop!S35)</f>
        <v>PTTH/04/TB</v>
      </c>
      <c r="T35" s="162" t="str">
        <f>IF(NSTonghop!$E35&lt;&gt;0,0,NSTonghop!T35)</f>
        <v>CĐ3/Sử-Địa/07/Khá</v>
      </c>
      <c r="U35" s="162" t="str">
        <f>IF(NSTonghop!$E35&lt;&gt;0,0,NSTonghop!U35)</f>
        <v>ĐHTX/Sử/11/Khá</v>
      </c>
      <c r="V35" s="162">
        <f>IF(NSTonghop!$E35&lt;&gt;0,0,NSTonghop!V35)</f>
        <v>0</v>
      </c>
      <c r="W35" s="162" t="str">
        <f>IF(NSTonghop!$E35&lt;&gt;0,0,NSTonghop!W35)</f>
        <v>ĐHTX</v>
      </c>
      <c r="X35" s="162" t="str">
        <f>IF(NSTonghop!$E35&lt;&gt;0,0,NSTonghop!X35)</f>
        <v>Sử</v>
      </c>
      <c r="Y35" s="162" t="str">
        <f>IF(NSTonghop!$E35&lt;&gt;0,0,NSTonghop!Y35)</f>
        <v>Sử</v>
      </c>
      <c r="Z35" s="162">
        <f>IF(NSTonghop!$E35&lt;&gt;0,0,NSTonghop!Z35)</f>
        <v>0</v>
      </c>
      <c r="AA35" s="162" t="str">
        <f>IF(NSTonghop!$E35&lt;&gt;0,0,NSTonghop!AA35)</f>
        <v>SC/18</v>
      </c>
      <c r="AB35" s="162" t="str">
        <f>IF(NSTonghop!$E35&lt;&gt;0,0,NSTonghop!AB35)</f>
        <v>A/07/Giỏi</v>
      </c>
      <c r="AC35" s="162" t="str">
        <f>IF(NSTonghop!$E35&lt;&gt;0,0,NSTonghop!AC35)</f>
        <v>A/Anh/09/Khá</v>
      </c>
      <c r="AD35" s="162">
        <f>IF(NSTonghop!$E35&lt;&gt;0,0,NSTonghop!AD35)</f>
        <v>0</v>
      </c>
      <c r="AE35" s="162">
        <f>IF(NSTonghop!$E35&lt;&gt;0,0,NSTonghop!AE35)</f>
        <v>0</v>
      </c>
      <c r="AF35" s="162">
        <f>IF(NSTonghop!$E35&lt;&gt;0,0,NSTonghop!AF35)</f>
        <v>0</v>
      </c>
      <c r="AG35" s="162" t="str">
        <f>IF(NSTonghop!$E35&lt;&gt;0,0,NSTonghop!AG35)</f>
        <v>V.07.04.11</v>
      </c>
      <c r="AH35" s="162" t="str">
        <f>IF(NSTonghop!$E35&lt;&gt;0,0,NSTonghop!AH35)</f>
        <v>CC/12/Khá</v>
      </c>
      <c r="AI35" s="162">
        <f>IF(NSTonghop!$E35&lt;&gt;0,0,NSTonghop!AI35)</f>
        <v>8909003924</v>
      </c>
      <c r="AJ35" s="162">
        <f>IF(NSTonghop!$E35&lt;&gt;0,0,NSTonghop!AJ35)</f>
        <v>351782248</v>
      </c>
      <c r="AK35" s="162" t="str">
        <f>IF(NSTonghop!$E35&lt;&gt;0,0,NSTonghop!AK35)</f>
        <v>12/04/2005</v>
      </c>
      <c r="AL35" s="162" t="str">
        <f>IF(NSTonghop!$E35&lt;&gt;0,0,NSTonghop!AL35)</f>
        <v>01/09/2007</v>
      </c>
      <c r="AM35" s="162" t="str">
        <f>IF(NSTonghop!$E35&lt;&gt;0,0,NSTonghop!AM35)</f>
        <v>20/09/2009</v>
      </c>
      <c r="AN35" s="162" t="str">
        <f>IF(NSTonghop!$E35&lt;&gt;0,0,NSTonghop!AN35)</f>
        <v>01/09/2008</v>
      </c>
      <c r="AO35" s="162" t="str">
        <f>IF(NSTonghop!$E35&lt;&gt;0,0,NSTonghop!AO35)</f>
        <v>22/12/2010</v>
      </c>
      <c r="AP35" s="162" t="str">
        <f>IF(NSTonghop!$E35&lt;&gt;0,0,NSTonghop!AP35)</f>
        <v>31.045 208</v>
      </c>
      <c r="AQ35" s="162">
        <f>IF(NSTonghop!$E35&lt;&gt;0,0,NSTonghop!AQ35)</f>
        <v>2010</v>
      </c>
      <c r="AR35" s="162">
        <f>IF(NSTonghop!$E35&lt;&gt;0,0,NSTonghop!AR35)</f>
        <v>0</v>
      </c>
      <c r="AS35" s="162">
        <f>IF(NSTonghop!$E35&lt;&gt;0,0,NSTonghop!AS35)</f>
        <v>0</v>
      </c>
      <c r="AT35" s="162" t="str">
        <f>IF(NSTonghop!$E35&lt;&gt;0,0,NSTonghop!AT35)</f>
        <v>0965606942</v>
      </c>
      <c r="AU35" s="212"/>
    </row>
    <row r="36" spans="1:47" x14ac:dyDescent="0.25">
      <c r="A36" s="220"/>
      <c r="B36" s="162">
        <f>IF(F36&lt;&gt;0,MAX($B$8:B35)+1,"")</f>
        <v>24</v>
      </c>
      <c r="C36" s="163">
        <f>IF(F36=0,0,MAX($C$34:C35)+1)</f>
        <v>3</v>
      </c>
      <c r="D36" s="441" t="str">
        <f>IF(NSTonghop!$E36&lt;&gt;0,0,NSTonghop!D36)</f>
        <v>x</v>
      </c>
      <c r="E36" s="162">
        <f>IF(NSTonghop!E36&lt;&gt;0,0,0)</f>
        <v>0</v>
      </c>
      <c r="F36" s="162" t="str">
        <f>IF(NSTonghop!$E36&lt;&gt;0,0,NSTonghop!F36)</f>
        <v>Tô Thị Kiều</v>
      </c>
      <c r="G36" s="162" t="str">
        <f>IF(NSTonghop!$E36&lt;&gt;0,0,NSTonghop!G36)</f>
        <v>x</v>
      </c>
      <c r="H36" s="162">
        <f>IF(NSTonghop!$E36&lt;&gt;0,0,NSTonghop!H36)</f>
        <v>0</v>
      </c>
      <c r="I36" s="162" t="str">
        <f>IF(NSTonghop!$E36&lt;&gt;0,0,NSTonghop!I36)</f>
        <v>04/01/1988</v>
      </c>
      <c r="J36" s="162">
        <f>IF(NSTonghop!$E36&lt;&gt;0,0,NSTonghop!J36)</f>
        <v>0</v>
      </c>
      <c r="K36" s="162">
        <f>IF(NSTonghop!$E36&lt;&gt;0,0,NSTonghop!K36)</f>
        <v>1988</v>
      </c>
      <c r="L36" s="162" t="str">
        <f>IF(NSTonghop!$E36&lt;&gt;0,0,NSTonghop!L36)</f>
        <v>GV</v>
      </c>
      <c r="M36" s="162">
        <f>IF(NSTonghop!$E36&lt;&gt;0,0,NSTonghop!M36)</f>
        <v>0</v>
      </c>
      <c r="N36" s="162" t="str">
        <f>IF(NSTonghop!$E36&lt;&gt;0,0,NSTonghop!N36)</f>
        <v>Phật</v>
      </c>
      <c r="O36" s="162" t="str">
        <f>IF(NSTonghop!$E36&lt;&gt;0,0,NSTonghop!O36)</f>
        <v>Bộ đội</v>
      </c>
      <c r="P36" s="162" t="str">
        <f>IF(NSTonghop!$E36&lt;&gt;0,0,NSTonghop!P36)</f>
        <v>Thới Sơn-An Giang</v>
      </c>
      <c r="Q36" s="162" t="str">
        <f>IF(NSTonghop!$E36&lt;&gt;0,0,NSTonghop!Q36)</f>
        <v>Cống Liêm-Nông Cống-Thanh Hóa</v>
      </c>
      <c r="R36" s="162" t="str">
        <f>IF(NSTonghop!$E36&lt;&gt;0,0,NSTonghop!R36)</f>
        <v>160/7 Thới Thuận-Thới Sơn-Tịnh Biên</v>
      </c>
      <c r="S36" s="162" t="str">
        <f>IF(NSTonghop!$E36&lt;&gt;0,0,NSTonghop!S36)</f>
        <v>PTTH/06/TB</v>
      </c>
      <c r="T36" s="162" t="str">
        <f>IF(NSTonghop!$E36&lt;&gt;0,0,NSTonghop!T36)</f>
        <v>ĐHCQ/Địa/12/Khá</v>
      </c>
      <c r="U36" s="162">
        <f>IF(NSTonghop!$E36&lt;&gt;0,0,NSTonghop!U36)</f>
        <v>0</v>
      </c>
      <c r="V36" s="162">
        <f>IF(NSTonghop!$E36&lt;&gt;0,0,NSTonghop!V36)</f>
        <v>0</v>
      </c>
      <c r="W36" s="162" t="str">
        <f>IF(NSTonghop!$E36&lt;&gt;0,0,NSTonghop!W36)</f>
        <v>ĐHCQ</v>
      </c>
      <c r="X36" s="162" t="str">
        <f>IF(NSTonghop!$E36&lt;&gt;0,0,NSTonghop!X36)</f>
        <v>Địa</v>
      </c>
      <c r="Y36" s="162" t="str">
        <f>IF(NSTonghop!$E36&lt;&gt;0,0,NSTonghop!Y36)</f>
        <v>Địa</v>
      </c>
      <c r="Z36" s="162">
        <f>IF(NSTonghop!$E36&lt;&gt;0,0,NSTonghop!Z36)</f>
        <v>0</v>
      </c>
      <c r="AA36" s="162">
        <f>IF(NSTonghop!$E36&lt;&gt;0,0,NSTonghop!AA36)</f>
        <v>0</v>
      </c>
      <c r="AB36" s="162" t="str">
        <f>IF(NSTonghop!$E36&lt;&gt;0,0,NSTonghop!AB36)</f>
        <v>A/10/Giỏi</v>
      </c>
      <c r="AC36" s="162" t="str">
        <f>IF(NSTonghop!$E36&lt;&gt;0,0,NSTonghop!AC36)</f>
        <v>B/Anh/11/Khá</v>
      </c>
      <c r="AD36" s="162">
        <f>IF(NSTonghop!$E36&lt;&gt;0,0,NSTonghop!AD36)</f>
        <v>0</v>
      </c>
      <c r="AE36" s="162">
        <f>IF(NSTonghop!$E36&lt;&gt;0,0,NSTonghop!AE36)</f>
        <v>0</v>
      </c>
      <c r="AF36" s="162">
        <f>IF(NSTonghop!$E36&lt;&gt;0,0,NSTonghop!AF36)</f>
        <v>0</v>
      </c>
      <c r="AG36" s="162" t="str">
        <f>IF(NSTonghop!$E36&lt;&gt;0,0,NSTonghop!AG36)</f>
        <v>V.07.04.11</v>
      </c>
      <c r="AH36" s="162" t="str">
        <f>IF(NSTonghop!$E36&lt;&gt;0,0,NSTonghop!AH36)</f>
        <v>CN/14/Giỏi</v>
      </c>
      <c r="AI36" s="162">
        <f>IF(NSTonghop!$E36&lt;&gt;0,0,NSTonghop!AI36)</f>
        <v>8913010611</v>
      </c>
      <c r="AJ36" s="162">
        <f>IF(NSTonghop!$E36&lt;&gt;0,0,NSTonghop!AJ36)</f>
        <v>351907003</v>
      </c>
      <c r="AK36" s="162" t="str">
        <f>IF(NSTonghop!$E36&lt;&gt;0,0,NSTonghop!AK36)</f>
        <v>25/04/2005</v>
      </c>
      <c r="AL36" s="162" t="str">
        <f>IF(NSTonghop!$E36&lt;&gt;0,0,NSTonghop!AL36)</f>
        <v>01/09/2013</v>
      </c>
      <c r="AM36" s="162" t="str">
        <f>IF(NSTonghop!$E36&lt;&gt;0,0,NSTonghop!AM36)</f>
        <v>01/09/2013</v>
      </c>
      <c r="AN36" s="162" t="str">
        <f>IF(NSTonghop!$E36&lt;&gt;0,0,NSTonghop!AN36)</f>
        <v>01/09/2014</v>
      </c>
      <c r="AO36" s="162">
        <f>IF(NSTonghop!$E36&lt;&gt;0,0,NSTonghop!AO36)</f>
        <v>0</v>
      </c>
      <c r="AP36" s="162">
        <f>IF(NSTonghop!$E36&lt;&gt;0,0,NSTonghop!AP36)</f>
        <v>0</v>
      </c>
      <c r="AQ36" s="162" t="str">
        <f>IF(NSTonghop!$E36&lt;&gt;0,0,NSTonghop!AQ36)</f>
        <v/>
      </c>
      <c r="AR36" s="162" t="str">
        <f>IF(NSTonghop!$E36&lt;&gt;0,0,NSTonghop!AR36)</f>
        <v>26/3/2003</v>
      </c>
      <c r="AS36" s="162">
        <f>IF(NSTonghop!$E36&lt;&gt;0,0,NSTonghop!AS36)</f>
        <v>0</v>
      </c>
      <c r="AT36" s="162" t="str">
        <f>IF(NSTonghop!$E36&lt;&gt;0,0,NSTonghop!AT36)</f>
        <v>0979448702</v>
      </c>
      <c r="AU36" s="212"/>
    </row>
    <row r="37" spans="1:47" x14ac:dyDescent="0.25">
      <c r="A37" s="220"/>
      <c r="B37" s="162">
        <f>IF(F37&lt;&gt;0,MAX($B$8:B36)+1,"")</f>
        <v>25</v>
      </c>
      <c r="C37" s="163">
        <f>IF(F37=0,0,MAX($C$34:C36)+1)</f>
        <v>4</v>
      </c>
      <c r="D37" s="441">
        <f>IF(NSTonghop!$E37&lt;&gt;0,0,NSTonghop!D37)</f>
        <v>1287</v>
      </c>
      <c r="E37" s="162">
        <f>IF(NSTonghop!E37&lt;&gt;0,0,0)</f>
        <v>0</v>
      </c>
      <c r="F37" s="162" t="str">
        <f>IF(NSTonghop!$E37&lt;&gt;0,0,NSTonghop!F37)</f>
        <v>Nguyễn Thị Bạch Cúc</v>
      </c>
      <c r="G37" s="162" t="str">
        <f>IF(NSTonghop!$E37&lt;&gt;0,0,NSTonghop!G37)</f>
        <v>x</v>
      </c>
      <c r="H37" s="162">
        <f>IF(NSTonghop!$E37&lt;&gt;0,0,NSTonghop!H37)</f>
        <v>0</v>
      </c>
      <c r="I37" s="162" t="str">
        <f>IF(NSTonghop!$E37&lt;&gt;0,0,NSTonghop!I37)</f>
        <v>21/07/1965</v>
      </c>
      <c r="J37" s="162">
        <f>IF(NSTonghop!$E37&lt;&gt;0,0,NSTonghop!J37)</f>
        <v>0</v>
      </c>
      <c r="K37" s="162">
        <f>IF(NSTonghop!$E37&lt;&gt;0,0,NSTonghop!K37)</f>
        <v>1965</v>
      </c>
      <c r="L37" s="162" t="str">
        <f>IF(NSTonghop!$E37&lt;&gt;0,0,NSTonghop!L37)</f>
        <v>GV</v>
      </c>
      <c r="M37" s="162">
        <f>IF(NSTonghop!$E37&lt;&gt;0,0,NSTonghop!M37)</f>
        <v>0</v>
      </c>
      <c r="N37" s="162" t="str">
        <f>IF(NSTonghop!$E37&lt;&gt;0,0,NSTonghop!N37)</f>
        <v>Phật</v>
      </c>
      <c r="O37" s="162" t="str">
        <f>IF(NSTonghop!$E37&lt;&gt;0,0,NSTonghop!O37)</f>
        <v>Trí thức</v>
      </c>
      <c r="P37" s="162" t="str">
        <f>IF(NSTonghop!$E37&lt;&gt;0,0,NSTonghop!P37)</f>
        <v>Kiến An-An Giang</v>
      </c>
      <c r="Q37" s="162" t="str">
        <f>IF(NSTonghop!$E37&lt;&gt;0,0,NSTonghop!Q37)</f>
        <v>Kiến An-Chợ Mới</v>
      </c>
      <c r="R37" s="162" t="str">
        <f>IF(NSTonghop!$E37&lt;&gt;0,0,NSTonghop!R37)</f>
        <v>19 Bình Thành-Bình Mỹ</v>
      </c>
      <c r="S37" s="162" t="str">
        <f>IF(NSTonghop!$E37&lt;&gt;0,0,NSTonghop!S37)</f>
        <v>PTTH/83/TB</v>
      </c>
      <c r="T37" s="162" t="str">
        <f>IF(NSTonghop!$E37&lt;&gt;0,0,NSTonghop!T37)</f>
        <v>CĐ3/Sử-GDCD/88/TB</v>
      </c>
      <c r="U37" s="162" t="str">
        <f>IF(NSTonghop!$E37&lt;&gt;0,0,NSTonghop!U37)</f>
        <v>ĐHTX/Sử/02/TB</v>
      </c>
      <c r="V37" s="162">
        <f>IF(NSTonghop!$E37&lt;&gt;0,0,NSTonghop!V37)</f>
        <v>0</v>
      </c>
      <c r="W37" s="162" t="str">
        <f>IF(NSTonghop!$E37&lt;&gt;0,0,NSTonghop!W37)</f>
        <v>ĐHTX</v>
      </c>
      <c r="X37" s="162" t="str">
        <f>IF(NSTonghop!$E37&lt;&gt;0,0,NSTonghop!X37)</f>
        <v>Sử</v>
      </c>
      <c r="Y37" s="162" t="str">
        <f>IF(NSTonghop!$E37&lt;&gt;0,0,NSTonghop!Y37)</f>
        <v>Sử</v>
      </c>
      <c r="Z37" s="162">
        <f>IF(NSTonghop!$E37&lt;&gt;0,0,NSTonghop!Z37)</f>
        <v>0</v>
      </c>
      <c r="AA37" s="162">
        <f>IF(NSTonghop!$E37&lt;&gt;0,0,NSTonghop!AA37)</f>
        <v>0</v>
      </c>
      <c r="AB37" s="162" t="str">
        <f>IF(NSTonghop!$E37&lt;&gt;0,0,NSTonghop!AB37)</f>
        <v>A/07/Giỏi</v>
      </c>
      <c r="AC37" s="162">
        <f>IF(NSTonghop!$E37&lt;&gt;0,0,NSTonghop!AC37)</f>
        <v>0</v>
      </c>
      <c r="AD37" s="162">
        <f>IF(NSTonghop!$E37&lt;&gt;0,0,NSTonghop!AD37)</f>
        <v>0</v>
      </c>
      <c r="AE37" s="162">
        <f>IF(NSTonghop!$E37&lt;&gt;0,0,NSTonghop!AE37)</f>
        <v>0</v>
      </c>
      <c r="AF37" s="162">
        <f>IF(NSTonghop!$E37&lt;&gt;0,0,NSTonghop!AF37)</f>
        <v>0</v>
      </c>
      <c r="AG37" s="162" t="str">
        <f>IF(NSTonghop!$E37&lt;&gt;0,0,NSTonghop!AG37)</f>
        <v>V.07.04.11</v>
      </c>
      <c r="AH37" s="162">
        <f>IF(NSTonghop!$E37&lt;&gt;0,0,NSTonghop!AH37)</f>
        <v>0</v>
      </c>
      <c r="AI37" s="162">
        <f>IF(NSTonghop!$E37&lt;&gt;0,0,NSTonghop!AI37)</f>
        <v>5096011904</v>
      </c>
      <c r="AJ37" s="162">
        <f>IF(NSTonghop!$E37&lt;&gt;0,0,NSTonghop!AJ37)</f>
        <v>350646446</v>
      </c>
      <c r="AK37" s="162" t="str">
        <f>IF(NSTonghop!$E37&lt;&gt;0,0,NSTonghop!AK37)</f>
        <v>05/09/2003</v>
      </c>
      <c r="AL37" s="162" t="str">
        <f>IF(NSTonghop!$E37&lt;&gt;0,0,NSTonghop!AL37)</f>
        <v>01/09/1988</v>
      </c>
      <c r="AM37" s="162" t="str">
        <f>IF(NSTonghop!$E37&lt;&gt;0,0,NSTonghop!AM37)</f>
        <v>01/09/2016</v>
      </c>
      <c r="AN37" s="162" t="str">
        <f>IF(NSTonghop!$E37&lt;&gt;0,0,NSTonghop!AN37)</f>
        <v>01/09/1991</v>
      </c>
      <c r="AO37" s="162">
        <f>IF(NSTonghop!$E37&lt;&gt;0,0,NSTonghop!AO37)</f>
        <v>0</v>
      </c>
      <c r="AP37" s="162">
        <f>IF(NSTonghop!$E37&lt;&gt;0,0,NSTonghop!AP37)</f>
        <v>0</v>
      </c>
      <c r="AQ37" s="162" t="str">
        <f>IF(NSTonghop!$E37&lt;&gt;0,0,NSTonghop!AQ37)</f>
        <v/>
      </c>
      <c r="AR37" s="162">
        <f>IF(NSTonghop!$E37&lt;&gt;0,0,NSTonghop!AR37)</f>
        <v>0</v>
      </c>
      <c r="AS37" s="162">
        <f>IF(NSTonghop!$E37&lt;&gt;0,0,NSTonghop!AS37)</f>
        <v>0</v>
      </c>
      <c r="AT37" s="162" t="str">
        <f>IF(NSTonghop!$E37&lt;&gt;0,0,NSTonghop!AT37)</f>
        <v>0906986400</v>
      </c>
      <c r="AU37" s="212"/>
    </row>
    <row r="38" spans="1:47" x14ac:dyDescent="0.25">
      <c r="A38" s="220"/>
      <c r="B38" s="162">
        <f>IF(F38&lt;&gt;0,MAX($B$8:B37)+1,"")</f>
        <v>26</v>
      </c>
      <c r="C38" s="163">
        <f>IF(F38=0,0,MAX($C$34:C37)+1)</f>
        <v>5</v>
      </c>
      <c r="D38" s="441" t="str">
        <f>IF(NSTonghop!$E38&lt;&gt;0,0,NSTonghop!D38)</f>
        <v>x</v>
      </c>
      <c r="E38" s="162">
        <f>IF(NSTonghop!E38&lt;&gt;0,0,0)</f>
        <v>0</v>
      </c>
      <c r="F38" s="162" t="str">
        <f>IF(NSTonghop!$E38&lt;&gt;0,0,NSTonghop!F38)</f>
        <v>Nguyễn Thị Kim Cương</v>
      </c>
      <c r="G38" s="162" t="str">
        <f>IF(NSTonghop!$E38&lt;&gt;0,0,NSTonghop!G38)</f>
        <v>x</v>
      </c>
      <c r="H38" s="162">
        <f>IF(NSTonghop!$E38&lt;&gt;0,0,NSTonghop!H38)</f>
        <v>0</v>
      </c>
      <c r="I38" s="162" t="str">
        <f>IF(NSTonghop!$E38&lt;&gt;0,0,NSTonghop!I38)</f>
        <v>20/09/1987</v>
      </c>
      <c r="J38" s="162">
        <f>IF(NSTonghop!$E38&lt;&gt;0,0,NSTonghop!J38)</f>
        <v>0</v>
      </c>
      <c r="K38" s="162">
        <f>IF(NSTonghop!$E38&lt;&gt;0,0,NSTonghop!K38)</f>
        <v>1987</v>
      </c>
      <c r="L38" s="162" t="str">
        <f>IF(NSTonghop!$E38&lt;&gt;0,0,NSTonghop!L38)</f>
        <v>GV</v>
      </c>
      <c r="M38" s="162">
        <f>IF(NSTonghop!$E38&lt;&gt;0,0,NSTonghop!M38)</f>
        <v>0</v>
      </c>
      <c r="N38" s="162" t="str">
        <f>IF(NSTonghop!$E38&lt;&gt;0,0,NSTonghop!N38)</f>
        <v>x</v>
      </c>
      <c r="O38" s="162" t="str">
        <f>IF(NSTonghop!$E38&lt;&gt;0,0,NSTonghop!O38)</f>
        <v>Nông dân</v>
      </c>
      <c r="P38" s="162" t="str">
        <f>IF(NSTonghop!$E38&lt;&gt;0,0,NSTonghop!P38)</f>
        <v>Vĩnh Trường-An Giang</v>
      </c>
      <c r="Q38" s="162" t="str">
        <f>IF(NSTonghop!$E38&lt;&gt;0,0,NSTonghop!Q38)</f>
        <v>Vĩnh Trường-An Phú</v>
      </c>
      <c r="R38" s="162" t="str">
        <f>IF(NSTonghop!$E38&lt;&gt;0,0,NSTonghop!R38)</f>
        <v>1123/9 Vĩnh Nghĩa-Vĩnh Trường</v>
      </c>
      <c r="S38" s="162" t="str">
        <f>IF(NSTonghop!$E38&lt;&gt;0,0,NSTonghop!S38)</f>
        <v>PTTH/05/TB</v>
      </c>
      <c r="T38" s="162" t="str">
        <f>IF(NSTonghop!$E38&lt;&gt;0,0,NSTonghop!T38)</f>
        <v>CĐ3/Sử-Địa/10/Khá</v>
      </c>
      <c r="U38" s="162" t="str">
        <f>IF(NSTonghop!$E38&lt;&gt;0,0,NSTonghop!U38)</f>
        <v>ĐHTX/Sử/14/TBK</v>
      </c>
      <c r="V38" s="162">
        <f>IF(NSTonghop!$E38&lt;&gt;0,0,NSTonghop!V38)</f>
        <v>0</v>
      </c>
      <c r="W38" s="162" t="str">
        <f>IF(NSTonghop!$E38&lt;&gt;0,0,NSTonghop!W38)</f>
        <v>ĐHTX</v>
      </c>
      <c r="X38" s="162" t="str">
        <f>IF(NSTonghop!$E38&lt;&gt;0,0,NSTonghop!X38)</f>
        <v>Sử</v>
      </c>
      <c r="Y38" s="162" t="str">
        <f>IF(NSTonghop!$E38&lt;&gt;0,0,NSTonghop!Y38)</f>
        <v>Địa</v>
      </c>
      <c r="Z38" s="162">
        <f>IF(NSTonghop!$E38&lt;&gt;0,0,NSTonghop!Z38)</f>
        <v>0</v>
      </c>
      <c r="AA38" s="162">
        <f>IF(NSTonghop!$E38&lt;&gt;0,0,NSTonghop!AA38)</f>
        <v>0</v>
      </c>
      <c r="AB38" s="162" t="str">
        <f>IF(NSTonghop!$E38&lt;&gt;0,0,NSTonghop!AB38)</f>
        <v>A/10/TB</v>
      </c>
      <c r="AC38" s="162" t="str">
        <f>IF(NSTonghop!$E38&lt;&gt;0,0,NSTonghop!AC38)</f>
        <v>B/Anh/14/TB</v>
      </c>
      <c r="AD38" s="162">
        <f>IF(NSTonghop!$E38&lt;&gt;0,0,NSTonghop!AD38)</f>
        <v>0</v>
      </c>
      <c r="AE38" s="162">
        <f>IF(NSTonghop!$E38&lt;&gt;0,0,NSTonghop!AE38)</f>
        <v>0</v>
      </c>
      <c r="AF38" s="162">
        <f>IF(NSTonghop!$E38&lt;&gt;0,0,NSTonghop!AF38)</f>
        <v>0</v>
      </c>
      <c r="AG38" s="162" t="str">
        <f>IF(NSTonghop!$E38&lt;&gt;0,0,NSTonghop!AG38)</f>
        <v>V.07.04.11</v>
      </c>
      <c r="AH38" s="162">
        <f>IF(NSTonghop!$E38&lt;&gt;0,0,NSTonghop!AH38)</f>
        <v>0</v>
      </c>
      <c r="AI38" s="162">
        <f>IF(NSTonghop!$E38&lt;&gt;0,0,NSTonghop!AI38)</f>
        <v>8911006893</v>
      </c>
      <c r="AJ38" s="162">
        <f>IF(NSTonghop!$E38&lt;&gt;0,0,NSTonghop!AJ38)</f>
        <v>351791913</v>
      </c>
      <c r="AK38" s="162" t="str">
        <f>IF(NSTonghop!$E38&lt;&gt;0,0,NSTonghop!AK38)</f>
        <v>14/12/2018</v>
      </c>
      <c r="AL38" s="162" t="str">
        <f>IF(NSTonghop!$E38&lt;&gt;0,0,NSTonghop!AL38)</f>
        <v>01/09/2011</v>
      </c>
      <c r="AM38" s="162" t="str">
        <f>IF(NSTonghop!$E38&lt;&gt;0,0,NSTonghop!AM38)</f>
        <v>01/09/2014</v>
      </c>
      <c r="AN38" s="162" t="str">
        <f>IF(NSTonghop!$E38&lt;&gt;0,0,NSTonghop!AN38)</f>
        <v>01/09/2012</v>
      </c>
      <c r="AO38" s="162">
        <f>IF(NSTonghop!$E38&lt;&gt;0,0,NSTonghop!AO38)</f>
        <v>0</v>
      </c>
      <c r="AP38" s="162">
        <f>IF(NSTonghop!$E38&lt;&gt;0,0,NSTonghop!AP38)</f>
        <v>0</v>
      </c>
      <c r="AQ38" s="162" t="str">
        <f>IF(NSTonghop!$E38&lt;&gt;0,0,NSTonghop!AQ38)</f>
        <v/>
      </c>
      <c r="AR38" s="162">
        <f>IF(NSTonghop!$E38&lt;&gt;0,0,NSTonghop!AR38)</f>
        <v>0</v>
      </c>
      <c r="AS38" s="162">
        <f>IF(NSTonghop!$E38&lt;&gt;0,0,NSTonghop!AS38)</f>
        <v>0</v>
      </c>
      <c r="AT38" s="162" t="str">
        <f>IF(NSTonghop!$E38&lt;&gt;0,0,NSTonghop!AT38)</f>
        <v>0915391807</v>
      </c>
      <c r="AU38" s="212"/>
    </row>
    <row r="39" spans="1:47" x14ac:dyDescent="0.25">
      <c r="A39" s="220"/>
      <c r="B39" s="229">
        <f>IF(F39&lt;&gt;0,MAX($B$8:B38)+1,"")</f>
        <v>27</v>
      </c>
      <c r="C39" s="163">
        <f>IF(F39=0,0,MAX($C$34:C38)+1)</f>
        <v>6</v>
      </c>
      <c r="D39" s="441">
        <f>IF(NSTonghop!$E39&lt;&gt;0,0,NSTonghop!D39)</f>
        <v>23002</v>
      </c>
      <c r="E39" s="162">
        <f>IF(NSTonghop!E39&lt;&gt;0,0,0)</f>
        <v>0</v>
      </c>
      <c r="F39" s="162" t="str">
        <f>IF(NSTonghop!$E39&lt;&gt;0,0,NSTonghop!F39)</f>
        <v>Trần Thị Ngọc Giàu</v>
      </c>
      <c r="G39" s="162" t="str">
        <f>IF(NSTonghop!$E39&lt;&gt;0,0,NSTonghop!G39)</f>
        <v>x</v>
      </c>
      <c r="H39" s="162">
        <f>IF(NSTonghop!$E39&lt;&gt;0,0,NSTonghop!H39)</f>
        <v>0</v>
      </c>
      <c r="I39" s="162" t="str">
        <f>IF(NSTonghop!$E39&lt;&gt;0,0,NSTonghop!I39)</f>
        <v>01/07/1981</v>
      </c>
      <c r="J39" s="162">
        <f>IF(NSTonghop!$E39&lt;&gt;0,0,NSTonghop!J39)</f>
        <v>0</v>
      </c>
      <c r="K39" s="162">
        <f>IF(NSTonghop!$E39&lt;&gt;0,0,NSTonghop!K39)</f>
        <v>1981</v>
      </c>
      <c r="L39" s="162" t="str">
        <f>IF(NSTonghop!$E39&lt;&gt;0,0,NSTonghop!L39)</f>
        <v>GV</v>
      </c>
      <c r="M39" s="162">
        <f>IF(NSTonghop!$E39&lt;&gt;0,0,NSTonghop!M39)</f>
        <v>0</v>
      </c>
      <c r="N39" s="162" t="str">
        <f>IF(NSTonghop!$E39&lt;&gt;0,0,NSTonghop!N39)</f>
        <v>Phật</v>
      </c>
      <c r="O39" s="162" t="str">
        <f>IF(NSTonghop!$E39&lt;&gt;0,0,NSTonghop!O39)</f>
        <v>Nông dân</v>
      </c>
      <c r="P39" s="162" t="str">
        <f>IF(NSTonghop!$E39&lt;&gt;0,0,NSTonghop!P39)</f>
        <v>Mỹ Đức-An Giang</v>
      </c>
      <c r="Q39" s="162" t="str">
        <f>IF(NSTonghop!$E39&lt;&gt;0,0,NSTonghop!Q39)</f>
        <v>Mỹ Đức-Châu Phú</v>
      </c>
      <c r="R39" s="162" t="str">
        <f>IF(NSTonghop!$E39&lt;&gt;0,0,NSTonghop!R39)</f>
        <v>38/1 Mỹ Thiện-Mỹ Đức</v>
      </c>
      <c r="S39" s="162" t="str">
        <f>IF(NSTonghop!$E39&lt;&gt;0,0,NSTonghop!S39)</f>
        <v>PTTH/00/TB</v>
      </c>
      <c r="T39" s="162" t="str">
        <f>IF(NSTonghop!$E39&lt;&gt;0,0,NSTonghop!T39)</f>
        <v>CĐ3/Văn-GDCD/03/TBK</v>
      </c>
      <c r="U39" s="162" t="str">
        <f>IF(NSTonghop!$E39&lt;&gt;0,0,NSTonghop!U39)</f>
        <v>ĐHTX/Văn/11/TB</v>
      </c>
      <c r="V39" s="162" t="str">
        <f>IF(NSTonghop!$E39&lt;&gt;0,0,NSTonghop!V39)</f>
        <v>CC KTPL/15/Khá</v>
      </c>
      <c r="W39" s="162" t="str">
        <f>IF(NSTonghop!$E39&lt;&gt;0,0,NSTonghop!W39)</f>
        <v>ĐHTX</v>
      </c>
      <c r="X39" s="162" t="str">
        <f>IF(NSTonghop!$E39&lt;&gt;0,0,NSTonghop!X39)</f>
        <v>Văn-GDCD</v>
      </c>
      <c r="Y39" s="162" t="str">
        <f>IF(NSTonghop!$E39&lt;&gt;0,0,NSTonghop!Y39)</f>
        <v>GD</v>
      </c>
      <c r="Z39" s="162">
        <f>IF(NSTonghop!$E39&lt;&gt;0,0,NSTonghop!Z39)</f>
        <v>0</v>
      </c>
      <c r="AA39" s="162">
        <f>IF(NSTonghop!$E39&lt;&gt;0,0,NSTonghop!AA39)</f>
        <v>0</v>
      </c>
      <c r="AB39" s="162" t="str">
        <f>IF(NSTonghop!$E39&lt;&gt;0,0,NSTonghop!AB39)</f>
        <v>A/04/Giỏi</v>
      </c>
      <c r="AC39" s="162" t="str">
        <f>IF(NSTonghop!$E39&lt;&gt;0,0,NSTonghop!AC39)</f>
        <v>A/Anh/13/Khá</v>
      </c>
      <c r="AD39" s="162">
        <f>IF(NSTonghop!$E39&lt;&gt;0,0,NSTonghop!AD39)</f>
        <v>0</v>
      </c>
      <c r="AE39" s="162">
        <f>IF(NSTonghop!$E39&lt;&gt;0,0,NSTonghop!AE39)</f>
        <v>0</v>
      </c>
      <c r="AF39" s="162">
        <f>IF(NSTonghop!$E39&lt;&gt;0,0,NSTonghop!AF39)</f>
        <v>0</v>
      </c>
      <c r="AG39" s="162" t="str">
        <f>IF(NSTonghop!$E39&lt;&gt;0,0,NSTonghop!AG39)</f>
        <v>V.07.04.11</v>
      </c>
      <c r="AH39" s="162" t="str">
        <f>IF(NSTonghop!$E39&lt;&gt;0,0,NSTonghop!AH39)</f>
        <v>CN/07/Khá</v>
      </c>
      <c r="AI39" s="162">
        <f>IF(NSTonghop!$E39&lt;&gt;0,0,NSTonghop!AI39)</f>
        <v>5004003302</v>
      </c>
      <c r="AJ39" s="162">
        <f>IF(NSTonghop!$E39&lt;&gt;0,0,NSTonghop!AJ39)</f>
        <v>351337962</v>
      </c>
      <c r="AK39" s="162" t="str">
        <f>IF(NSTonghop!$E39&lt;&gt;0,0,NSTonghop!AK39)</f>
        <v>03/04/2007</v>
      </c>
      <c r="AL39" s="162" t="str">
        <f>IF(NSTonghop!$E39&lt;&gt;0,0,NSTonghop!AL39)</f>
        <v>01/09/2003</v>
      </c>
      <c r="AM39" s="162" t="str">
        <f>IF(NSTonghop!$E39&lt;&gt;0,0,NSTonghop!AM39)</f>
        <v>01/09/2003</v>
      </c>
      <c r="AN39" s="162" t="str">
        <f>IF(NSTonghop!$E39&lt;&gt;0,0,NSTonghop!AN39)</f>
        <v>01/03/2004</v>
      </c>
      <c r="AO39" s="162">
        <f>IF(NSTonghop!$E39&lt;&gt;0,0,NSTonghop!AO39)</f>
        <v>0</v>
      </c>
      <c r="AP39" s="162">
        <f>IF(NSTonghop!$E39&lt;&gt;0,0,NSTonghop!AP39)</f>
        <v>0</v>
      </c>
      <c r="AQ39" s="162" t="str">
        <f>IF(NSTonghop!$E39&lt;&gt;0,0,NSTonghop!AQ39)</f>
        <v/>
      </c>
      <c r="AR39" s="162" t="str">
        <f>IF(NSTonghop!$E39&lt;&gt;0,0,NSTonghop!AR39)</f>
        <v>26/31997</v>
      </c>
      <c r="AS39" s="162" t="str">
        <f>IF(NSTonghop!$E39&lt;&gt;0,0,NSTonghop!AS39)</f>
        <v>?</v>
      </c>
      <c r="AT39" s="162" t="str">
        <f>IF(NSTonghop!$E39&lt;&gt;0,0,NSTonghop!AT39)</f>
        <v>0944511589</v>
      </c>
      <c r="AU39" s="212"/>
    </row>
    <row r="40" spans="1:47" x14ac:dyDescent="0.25">
      <c r="A40" s="220"/>
      <c r="B40" s="162">
        <f>IF(F40&lt;&gt;0,MAX($B$8:B39)+1,"")</f>
        <v>28</v>
      </c>
      <c r="C40" s="163">
        <f>IF(F40=0,0,MAX($C$34:C39)+1)</f>
        <v>7</v>
      </c>
      <c r="D40" s="441">
        <f>IF(NSTonghop!$E40&lt;&gt;0,0,NSTonghop!D40)</f>
        <v>16342</v>
      </c>
      <c r="E40" s="162">
        <f>IF(NSTonghop!E40&lt;&gt;0,0,0)</f>
        <v>0</v>
      </c>
      <c r="F40" s="162" t="str">
        <f>IF(NSTonghop!$E40&lt;&gt;0,0,NSTonghop!F40)</f>
        <v>Phạm Thị Thoa</v>
      </c>
      <c r="G40" s="162" t="str">
        <f>IF(NSTonghop!$E40&lt;&gt;0,0,NSTonghop!G40)</f>
        <v>x</v>
      </c>
      <c r="H40" s="162">
        <f>IF(NSTonghop!$E40&lt;&gt;0,0,NSTonghop!H40)</f>
        <v>0</v>
      </c>
      <c r="I40" s="162" t="str">
        <f>IF(NSTonghop!$E40&lt;&gt;0,0,NSTonghop!I40)</f>
        <v>10/05/1979</v>
      </c>
      <c r="J40" s="162">
        <f>IF(NSTonghop!$E40&lt;&gt;0,0,NSTonghop!J40)</f>
        <v>0</v>
      </c>
      <c r="K40" s="162">
        <f>IF(NSTonghop!$E40&lt;&gt;0,0,NSTonghop!K40)</f>
        <v>1979</v>
      </c>
      <c r="L40" s="162" t="str">
        <f>IF(NSTonghop!$E40&lt;&gt;0,0,NSTonghop!L40)</f>
        <v>GV</v>
      </c>
      <c r="M40" s="162">
        <f>IF(NSTonghop!$E40&lt;&gt;0,0,NSTonghop!M40)</f>
        <v>0</v>
      </c>
      <c r="N40" s="162" t="str">
        <f>IF(NSTonghop!$E40&lt;&gt;0,0,NSTonghop!N40)</f>
        <v>x</v>
      </c>
      <c r="O40" s="162" t="str">
        <f>IF(NSTonghop!$E40&lt;&gt;0,0,NSTonghop!O40)</f>
        <v>x</v>
      </c>
      <c r="P40" s="162" t="str">
        <f>IF(NSTonghop!$E40&lt;&gt;0,0,NSTonghop!P40)</f>
        <v>Nam Giang-Thanh Hóa</v>
      </c>
      <c r="Q40" s="162" t="str">
        <f>IF(NSTonghop!$E40&lt;&gt;0,0,NSTonghop!Q40)</f>
        <v>Nam Giang-Thọ Xuân-Thanh Hóa</v>
      </c>
      <c r="R40" s="162" t="str">
        <f>IF(NSTonghop!$E40&lt;&gt;0,0,NSTonghop!R40)</f>
        <v>18/1 Vĩnh Phú-VTT</v>
      </c>
      <c r="S40" s="162" t="str">
        <f>IF(NSTonghop!$E40&lt;&gt;0,0,NSTonghop!S40)</f>
        <v>PTTH/96/TB</v>
      </c>
      <c r="T40" s="162" t="str">
        <f>IF(NSTonghop!$E40&lt;&gt;0,0,NSTonghop!T40)</f>
        <v>CĐ3/Văn-GDCD/99/TB</v>
      </c>
      <c r="U40" s="162">
        <f>IF(NSTonghop!$E40&lt;&gt;0,0,NSTonghop!U40)</f>
        <v>0</v>
      </c>
      <c r="V40" s="162">
        <f>IF(NSTonghop!$E40&lt;&gt;0,0,NSTonghop!V40)</f>
        <v>0</v>
      </c>
      <c r="W40" s="162" t="str">
        <f>IF(NSTonghop!$E40&lt;&gt;0,0,NSTonghop!W40)</f>
        <v>CĐ3/</v>
      </c>
      <c r="X40" s="162" t="str">
        <f>IF(NSTonghop!$E40&lt;&gt;0,0,NSTonghop!X40)</f>
        <v>Văn</v>
      </c>
      <c r="Y40" s="162" t="str">
        <f>IF(NSTonghop!$E40&lt;&gt;0,0,NSTonghop!Y40)</f>
        <v>GD</v>
      </c>
      <c r="Z40" s="162">
        <f>IF(NSTonghop!$E40&lt;&gt;0,0,NSTonghop!Z40)</f>
        <v>0</v>
      </c>
      <c r="AA40" s="162">
        <f>IF(NSTonghop!$E40&lt;&gt;0,0,NSTonghop!AA40)</f>
        <v>0</v>
      </c>
      <c r="AB40" s="162" t="str">
        <f>IF(NSTonghop!$E40&lt;&gt;0,0,NSTonghop!AB40)</f>
        <v>A/08/Khá</v>
      </c>
      <c r="AC40" s="162">
        <f>IF(NSTonghop!$E40&lt;&gt;0,0,NSTonghop!AC40)</f>
        <v>0</v>
      </c>
      <c r="AD40" s="162">
        <f>IF(NSTonghop!$E40&lt;&gt;0,0,NSTonghop!AD40)</f>
        <v>0</v>
      </c>
      <c r="AE40" s="162">
        <f>IF(NSTonghop!$E40&lt;&gt;0,0,NSTonghop!AE40)</f>
        <v>0</v>
      </c>
      <c r="AF40" s="162">
        <f>IF(NSTonghop!$E40&lt;&gt;0,0,NSTonghop!AF40)</f>
        <v>0</v>
      </c>
      <c r="AG40" s="162" t="str">
        <f>IF(NSTonghop!$E40&lt;&gt;0,0,NSTonghop!AG40)</f>
        <v>V.07.04.12</v>
      </c>
      <c r="AH40" s="162">
        <f>IF(NSTonghop!$E40&lt;&gt;0,0,NSTonghop!AH40)</f>
        <v>0</v>
      </c>
      <c r="AI40" s="162">
        <f>IF(NSTonghop!$E40&lt;&gt;0,0,NSTonghop!AI40)</f>
        <v>5099036243</v>
      </c>
      <c r="AJ40" s="162">
        <f>IF(NSTonghop!$E40&lt;&gt;0,0,NSTonghop!AJ40)</f>
        <v>352428214</v>
      </c>
      <c r="AK40" s="162" t="str">
        <f>IF(NSTonghop!$E40&lt;&gt;0,0,NSTonghop!AK40)</f>
        <v>12/12/2012</v>
      </c>
      <c r="AL40" s="162" t="str">
        <f>IF(NSTonghop!$E40&lt;&gt;0,0,NSTonghop!AL40)</f>
        <v>01/09/1999</v>
      </c>
      <c r="AM40" s="162" t="str">
        <f>IF(NSTonghop!$E40&lt;&gt;0,0,NSTonghop!AM40)</f>
        <v>25/12/2002</v>
      </c>
      <c r="AN40" s="162" t="str">
        <f>IF(NSTonghop!$E40&lt;&gt;0,0,NSTonghop!AN40)</f>
        <v>01/03/2000</v>
      </c>
      <c r="AO40" s="162" t="str">
        <f>IF(NSTonghop!$E40&lt;&gt;0,0,NSTonghop!AO40)</f>
        <v>09/08/2001</v>
      </c>
      <c r="AP40" s="162" t="str">
        <f>IF(NSTonghop!$E40&lt;&gt;0,0,NSTonghop!AP40)</f>
        <v>31.020 543</v>
      </c>
      <c r="AQ40" s="162">
        <f>IF(NSTonghop!$E40&lt;&gt;0,0,NSTonghop!AQ40)</f>
        <v>2001</v>
      </c>
      <c r="AR40" s="162">
        <f>IF(NSTonghop!$E40&lt;&gt;0,0,NSTonghop!AR40)</f>
        <v>0</v>
      </c>
      <c r="AS40" s="162">
        <f>IF(NSTonghop!$E40&lt;&gt;0,0,NSTonghop!AS40)</f>
        <v>0</v>
      </c>
      <c r="AT40" s="162" t="str">
        <f>IF(NSTonghop!$E40&lt;&gt;0,0,NSTonghop!AT40)</f>
        <v>0919367349</v>
      </c>
      <c r="AU40" s="212"/>
    </row>
    <row r="41" spans="1:47" x14ac:dyDescent="0.25">
      <c r="A41" s="220"/>
      <c r="B41" s="162">
        <f>IF(F41&lt;&gt;0,MAX($B$8:B40)+1,"")</f>
        <v>29</v>
      </c>
      <c r="C41" s="163">
        <f>IF(F41=0,0,MAX($C$34:C40)+1)</f>
        <v>8</v>
      </c>
      <c r="D41" s="441">
        <f>IF(NSTonghop!$E41&lt;&gt;0,0,NSTonghop!D41)</f>
        <v>21545</v>
      </c>
      <c r="E41" s="162">
        <f>IF(NSTonghop!E41&lt;&gt;0,0,0)</f>
        <v>0</v>
      </c>
      <c r="F41" s="162" t="str">
        <f>IF(NSTonghop!$E41&lt;&gt;0,0,NSTonghop!F41)</f>
        <v>Lê Thị Tính</v>
      </c>
      <c r="G41" s="162" t="str">
        <f>IF(NSTonghop!$E41&lt;&gt;0,0,NSTonghop!G41)</f>
        <v>x</v>
      </c>
      <c r="H41" s="162">
        <f>IF(NSTonghop!$E41&lt;&gt;0,0,NSTonghop!H41)</f>
        <v>0</v>
      </c>
      <c r="I41" s="162" t="str">
        <f>IF(NSTonghop!$E41&lt;&gt;0,0,NSTonghop!I41)</f>
        <v>06/08/1981</v>
      </c>
      <c r="J41" s="162">
        <f>IF(NSTonghop!$E41&lt;&gt;0,0,NSTonghop!J41)</f>
        <v>0</v>
      </c>
      <c r="K41" s="162">
        <f>IF(NSTonghop!$E41&lt;&gt;0,0,NSTonghop!K41)</f>
        <v>1981</v>
      </c>
      <c r="L41" s="162" t="str">
        <f>IF(NSTonghop!$E41&lt;&gt;0,0,NSTonghop!L41)</f>
        <v>GV</v>
      </c>
      <c r="M41" s="162">
        <f>IF(NSTonghop!$E41&lt;&gt;0,0,NSTonghop!M41)</f>
        <v>0</v>
      </c>
      <c r="N41" s="162" t="str">
        <f>IF(NSTonghop!$E41&lt;&gt;0,0,NSTonghop!N41)</f>
        <v>x</v>
      </c>
      <c r="O41" s="162" t="str">
        <f>IF(NSTonghop!$E41&lt;&gt;0,0,NSTonghop!O41)</f>
        <v>CNV</v>
      </c>
      <c r="P41" s="162" t="str">
        <f>IF(NSTonghop!$E41&lt;&gt;0,0,NSTonghop!P41)</f>
        <v>Cô Tô-An Giang</v>
      </c>
      <c r="Q41" s="162" t="str">
        <f>IF(NSTonghop!$E41&lt;&gt;0,0,NSTonghop!Q41)</f>
        <v>Cô Tô-Tri Tôn</v>
      </c>
      <c r="R41" s="162" t="str">
        <f>IF(NSTonghop!$E41&lt;&gt;0,0,NSTonghop!R41)</f>
        <v>Vĩnh Phú-VTT</v>
      </c>
      <c r="S41" s="162" t="str">
        <f>IF(NSTonghop!$E41&lt;&gt;0,0,NSTonghop!S41)</f>
        <v>PTTH/99/TB</v>
      </c>
      <c r="T41" s="162" t="str">
        <f>IF(NSTonghop!$E41&lt;&gt;0,0,NSTonghop!T41)</f>
        <v>CĐ3/Sử-GDCD/02/TBK</v>
      </c>
      <c r="U41" s="162" t="str">
        <f>IF(NSTonghop!$E41&lt;&gt;0,0,NSTonghop!U41)</f>
        <v>ĐHTX/Sử/09/TBK</v>
      </c>
      <c r="V41" s="162">
        <f>IF(NSTonghop!$E41&lt;&gt;0,0,NSTonghop!V41)</f>
        <v>0</v>
      </c>
      <c r="W41" s="162" t="str">
        <f>IF(NSTonghop!$E41&lt;&gt;0,0,NSTonghop!W41)</f>
        <v>ĐHTX</v>
      </c>
      <c r="X41" s="162" t="str">
        <f>IF(NSTonghop!$E41&lt;&gt;0,0,NSTonghop!X41)</f>
        <v>Sử</v>
      </c>
      <c r="Y41" s="162" t="str">
        <f>IF(NSTonghop!$E41&lt;&gt;0,0,NSTonghop!Y41)</f>
        <v>Sử</v>
      </c>
      <c r="Z41" s="162">
        <f>IF(NSTonghop!$E41&lt;&gt;0,0,NSTonghop!Z41)</f>
        <v>0</v>
      </c>
      <c r="AA41" s="162" t="str">
        <f>IF(NSTonghop!$E41&lt;&gt;0,0,NSTonghop!AA41)</f>
        <v>SC/18</v>
      </c>
      <c r="AB41" s="162" t="str">
        <f>IF(NSTonghop!$E41&lt;&gt;0,0,NSTonghop!AB41)</f>
        <v>A/08/TB</v>
      </c>
      <c r="AC41" s="162" t="str">
        <f>IF(NSTonghop!$E41&lt;&gt;0,0,NSTonghop!AC41)</f>
        <v>A/Anh/13/Khá</v>
      </c>
      <c r="AD41" s="162">
        <f>IF(NSTonghop!$E41&lt;&gt;0,0,NSTonghop!AD41)</f>
        <v>0</v>
      </c>
      <c r="AE41" s="162">
        <f>IF(NSTonghop!$E41&lt;&gt;0,0,NSTonghop!AE41)</f>
        <v>0</v>
      </c>
      <c r="AF41" s="162">
        <f>IF(NSTonghop!$E41&lt;&gt;0,0,NSTonghop!AF41)</f>
        <v>0</v>
      </c>
      <c r="AG41" s="162" t="str">
        <f>IF(NSTonghop!$E41&lt;&gt;0,0,NSTonghop!AG41)</f>
        <v>V.07.04.11</v>
      </c>
      <c r="AH41" s="162" t="str">
        <f>IF(NSTonghop!$E41&lt;&gt;0,0,NSTonghop!AH41)</f>
        <v>CN/07/Khá</v>
      </c>
      <c r="AI41" s="162">
        <f>IF(NSTonghop!$E41&lt;&gt;0,0,NSTonghop!AI41)</f>
        <v>5003000274</v>
      </c>
      <c r="AJ41" s="162">
        <f>IF(NSTonghop!$E41&lt;&gt;0,0,NSTonghop!AJ41)</f>
        <v>351441328</v>
      </c>
      <c r="AK41" s="162" t="str">
        <f>IF(NSTonghop!$E41&lt;&gt;0,0,NSTonghop!AK41)</f>
        <v>26/11/2008</v>
      </c>
      <c r="AL41" s="162" t="str">
        <f>IF(NSTonghop!$E41&lt;&gt;0,0,NSTonghop!AL41)</f>
        <v>01/09/2002</v>
      </c>
      <c r="AM41" s="162" t="str">
        <f>IF(NSTonghop!$E41&lt;&gt;0,0,NSTonghop!AM41)</f>
        <v>01/09/2002</v>
      </c>
      <c r="AN41" s="162" t="str">
        <f>IF(NSTonghop!$E41&lt;&gt;0,0,NSTonghop!AN41)</f>
        <v>01/03/2003</v>
      </c>
      <c r="AO41" s="162" t="str">
        <f>IF(NSTonghop!$E41&lt;&gt;0,0,NSTonghop!AO41)</f>
        <v>22/11/2008</v>
      </c>
      <c r="AP41" s="162" t="str">
        <f>IF(NSTonghop!$E41&lt;&gt;0,0,NSTonghop!AP41)</f>
        <v>31.038 078</v>
      </c>
      <c r="AQ41" s="162">
        <f>IF(NSTonghop!$E41&lt;&gt;0,0,NSTonghop!AQ41)</f>
        <v>2008</v>
      </c>
      <c r="AR41" s="162">
        <f>IF(NSTonghop!$E41&lt;&gt;0,0,NSTonghop!AR41)</f>
        <v>0</v>
      </c>
      <c r="AS41" s="162">
        <f>IF(NSTonghop!$E41&lt;&gt;0,0,NSTonghop!AS41)</f>
        <v>0</v>
      </c>
      <c r="AT41" s="162" t="str">
        <f>IF(NSTonghop!$E41&lt;&gt;0,0,NSTonghop!AT41)</f>
        <v>0987076759</v>
      </c>
      <c r="AU41" s="212"/>
    </row>
    <row r="42" spans="1:47" x14ac:dyDescent="0.25">
      <c r="A42" s="220"/>
      <c r="B42" s="173">
        <f>IF(F42&lt;&gt;0,MAX($B$8:B41)+1,"")</f>
        <v>30</v>
      </c>
      <c r="C42" s="174">
        <f>IF(F42=0,0,MAX($C$34:C41)+1)</f>
        <v>9</v>
      </c>
      <c r="D42" s="442" t="str">
        <f>IF(NSTonghop!$E42&lt;&gt;0,0,NSTonghop!D42)</f>
        <v>x</v>
      </c>
      <c r="E42" s="173">
        <f>IF(NSTonghop!E42&lt;&gt;0,0,0)</f>
        <v>0</v>
      </c>
      <c r="F42" s="173" t="str">
        <f>IF(NSTonghop!$E42&lt;&gt;0,0,NSTonghop!F42)</f>
        <v>Võ Thị Kim Thùy</v>
      </c>
      <c r="G42" s="173" t="str">
        <f>IF(NSTonghop!$E42&lt;&gt;0,0,NSTonghop!G42)</f>
        <v>x</v>
      </c>
      <c r="H42" s="173">
        <f>IF(NSTonghop!$E42&lt;&gt;0,0,NSTonghop!H42)</f>
        <v>0</v>
      </c>
      <c r="I42" s="173" t="str">
        <f>IF(NSTonghop!$E42&lt;&gt;0,0,NSTonghop!I42)</f>
        <v>30/07/1991</v>
      </c>
      <c r="J42" s="173">
        <f>IF(NSTonghop!$E42&lt;&gt;0,0,NSTonghop!J42)</f>
        <v>0</v>
      </c>
      <c r="K42" s="173">
        <f>IF(NSTonghop!$E42&lt;&gt;0,0,NSTonghop!K42)</f>
        <v>1991</v>
      </c>
      <c r="L42" s="173" t="str">
        <f>IF(NSTonghop!$E42&lt;&gt;0,0,NSTonghop!L42)</f>
        <v>GV</v>
      </c>
      <c r="M42" s="173">
        <f>IF(NSTonghop!$E42&lt;&gt;0,0,NSTonghop!M42)</f>
        <v>0</v>
      </c>
      <c r="N42" s="173" t="str">
        <f>IF(NSTonghop!$E42&lt;&gt;0,0,NSTonghop!N42)</f>
        <v>Phật</v>
      </c>
      <c r="O42" s="173" t="str">
        <f>IF(NSTonghop!$E42&lt;&gt;0,0,NSTonghop!O42)</f>
        <v>Nông dân</v>
      </c>
      <c r="P42" s="173" t="str">
        <f>IF(NSTonghop!$E42&lt;&gt;0,0,NSTonghop!P42)</f>
        <v>Bình Thủy-An Giang</v>
      </c>
      <c r="Q42" s="173" t="str">
        <f>IF(NSTonghop!$E42&lt;&gt;0,0,NSTonghop!Q42)</f>
        <v>Bình Đức-Long Xuyên</v>
      </c>
      <c r="R42" s="173" t="str">
        <f>IF(NSTonghop!$E42&lt;&gt;0,0,NSTonghop!R42)</f>
        <v>597/15 Bình Trung-Bình Mỹ</v>
      </c>
      <c r="S42" s="173" t="str">
        <f>IF(NSTonghop!$E42&lt;&gt;0,0,NSTonghop!S42)</f>
        <v>PTTH/09/TB</v>
      </c>
      <c r="T42" s="173" t="str">
        <f>IF(NSTonghop!$E42&lt;&gt;0,0,NSTonghop!T42)</f>
        <v>ĐHCQ/Địa/13/Khá</v>
      </c>
      <c r="U42" s="173">
        <f>IF(NSTonghop!$E42&lt;&gt;0,0,NSTonghop!U42)</f>
        <v>0</v>
      </c>
      <c r="V42" s="173">
        <f>IF(NSTonghop!$E42&lt;&gt;0,0,NSTonghop!V42)</f>
        <v>0</v>
      </c>
      <c r="W42" s="173" t="str">
        <f>IF(NSTonghop!$E42&lt;&gt;0,0,NSTonghop!W42)</f>
        <v>ĐHCQ</v>
      </c>
      <c r="X42" s="173" t="str">
        <f>IF(NSTonghop!$E42&lt;&gt;0,0,NSTonghop!X42)</f>
        <v>Địa</v>
      </c>
      <c r="Y42" s="173" t="str">
        <f>IF(NSTonghop!$E42&lt;&gt;0,0,NSTonghop!Y42)</f>
        <v>Địa</v>
      </c>
      <c r="Z42" s="173">
        <f>IF(NSTonghop!$E42&lt;&gt;0,0,NSTonghop!Z42)</f>
        <v>0</v>
      </c>
      <c r="AA42" s="173">
        <f>IF(NSTonghop!$E42&lt;&gt;0,0,NSTonghop!AA42)</f>
        <v>0</v>
      </c>
      <c r="AB42" s="173" t="str">
        <f>IF(NSTonghop!$E42&lt;&gt;0,0,NSTonghop!AB42)</f>
        <v>A/10/Khá</v>
      </c>
      <c r="AC42" s="173" t="str">
        <f>IF(NSTonghop!$E42&lt;&gt;0,0,NSTonghop!AC42)</f>
        <v>B2/Anh/17</v>
      </c>
      <c r="AD42" s="173">
        <f>IF(NSTonghop!$E42&lt;&gt;0,0,NSTonghop!AD42)</f>
        <v>0</v>
      </c>
      <c r="AE42" s="173">
        <f>IF(NSTonghop!$E42&lt;&gt;0,0,NSTonghop!AE42)</f>
        <v>0</v>
      </c>
      <c r="AF42" s="173">
        <f>IF(NSTonghop!$E42&lt;&gt;0,0,NSTonghop!AF42)</f>
        <v>0</v>
      </c>
      <c r="AG42" s="173" t="str">
        <f>IF(NSTonghop!$E42&lt;&gt;0,0,NSTonghop!AG42)</f>
        <v>V.07.04.12</v>
      </c>
      <c r="AH42" s="173">
        <f>IF(NSTonghop!$E42&lt;&gt;0,0,NSTonghop!AH42)</f>
        <v>0</v>
      </c>
      <c r="AI42" s="173">
        <f>IF(NSTonghop!$E42&lt;&gt;0,0,NSTonghop!AI42)</f>
        <v>0</v>
      </c>
      <c r="AJ42" s="173">
        <f>IF(NSTonghop!$E42&lt;&gt;0,0,NSTonghop!AJ42)</f>
        <v>352004521</v>
      </c>
      <c r="AK42" s="173" t="str">
        <f>IF(NSTonghop!$E42&lt;&gt;0,0,NSTonghop!AK42)</f>
        <v>09/08/2006</v>
      </c>
      <c r="AL42" s="173" t="str">
        <f>IF(NSTonghop!$E42&lt;&gt;0,0,NSTonghop!AL42)</f>
        <v>10/10/2016</v>
      </c>
      <c r="AM42" s="173" t="str">
        <f>IF(NSTonghop!$E42&lt;&gt;0,0,NSTonghop!AM42)</f>
        <v>15/08/2018</v>
      </c>
      <c r="AN42" s="173" t="str">
        <f>IF(NSTonghop!$E42&lt;&gt;0,0,NSTonghop!AN42)</f>
        <v>01/07/2017</v>
      </c>
      <c r="AO42" s="173">
        <f>IF(NSTonghop!$E42&lt;&gt;0,0,NSTonghop!AO42)</f>
        <v>0</v>
      </c>
      <c r="AP42" s="173">
        <f>IF(NSTonghop!$E42&lt;&gt;0,0,NSTonghop!AP42)</f>
        <v>0</v>
      </c>
      <c r="AQ42" s="173" t="str">
        <f>IF(NSTonghop!$E42&lt;&gt;0,0,NSTonghop!AQ42)</f>
        <v/>
      </c>
      <c r="AR42" s="173" t="str">
        <f>IF(NSTonghop!$E42&lt;&gt;0,0,NSTonghop!AR42)</f>
        <v>26/3/2006</v>
      </c>
      <c r="AS42" s="173">
        <f>IF(NSTonghop!$E42&lt;&gt;0,0,NSTonghop!AS42)</f>
        <v>0</v>
      </c>
      <c r="AT42" s="173" t="str">
        <f>IF(NSTonghop!$E42&lt;&gt;0,0,NSTonghop!AT42)</f>
        <v>0349518705</v>
      </c>
      <c r="AU42" s="212"/>
    </row>
    <row r="43" spans="1:47" s="118" customFormat="1" x14ac:dyDescent="0.25">
      <c r="A43" s="220"/>
      <c r="B43" s="122">
        <f>IF(F43&lt;&gt;0,MAX($B$8:B42)+1,"")</f>
        <v>31</v>
      </c>
      <c r="C43" s="182">
        <f>IF(F43=0,0,1)</f>
        <v>1</v>
      </c>
      <c r="D43" s="441">
        <f>IF(NSTonghop!$E43&lt;&gt;0,0,NSTonghop!D43)</f>
        <v>3200</v>
      </c>
      <c r="E43" s="122">
        <f>IF(NSTonghop!E43&lt;&gt;0,0,0)</f>
        <v>0</v>
      </c>
      <c r="F43" s="122" t="str">
        <f>IF(NSTonghop!$E43&lt;&gt;0,0,NSTonghop!F43)</f>
        <v>Châu Thị Huỳnh Mai</v>
      </c>
      <c r="G43" s="122" t="str">
        <f>IF(NSTonghop!$E43&lt;&gt;0,0,NSTonghop!G43)</f>
        <v>x</v>
      </c>
      <c r="H43" s="122">
        <f>IF(NSTonghop!$E43&lt;&gt;0,0,NSTonghop!H43)</f>
        <v>0</v>
      </c>
      <c r="I43" s="122" t="str">
        <f>IF(NSTonghop!$E43&lt;&gt;0,0,NSTonghop!I43)</f>
        <v>03/02/1976</v>
      </c>
      <c r="J43" s="122">
        <f>IF(NSTonghop!$E43&lt;&gt;0,0,NSTonghop!J43)</f>
        <v>0</v>
      </c>
      <c r="K43" s="122">
        <f>IF(NSTonghop!$E43&lt;&gt;0,0,NSTonghop!K43)</f>
        <v>1976</v>
      </c>
      <c r="L43" s="122" t="str">
        <f>IF(NSTonghop!$E43&lt;&gt;0,0,NSTonghop!L43)</f>
        <v>GV</v>
      </c>
      <c r="M43" s="122">
        <f>IF(NSTonghop!$E43&lt;&gt;0,0,NSTonghop!M43)</f>
        <v>0</v>
      </c>
      <c r="N43" s="122" t="str">
        <f>IF(NSTonghop!$E43&lt;&gt;0,0,NSTonghop!N43)</f>
        <v>x</v>
      </c>
      <c r="O43" s="122" t="str">
        <f>IF(NSTonghop!$E43&lt;&gt;0,0,NSTonghop!O43)</f>
        <v>Viên chức</v>
      </c>
      <c r="P43" s="122" t="str">
        <f>IF(NSTonghop!$E43&lt;&gt;0,0,NSTonghop!P43)</f>
        <v>Vĩnh Tế-An Giang</v>
      </c>
      <c r="Q43" s="122" t="str">
        <f>IF(NSTonghop!$E43&lt;&gt;0,0,NSTonghop!Q43)</f>
        <v>Vĩnh Tế-Châu Đốc</v>
      </c>
      <c r="R43" s="122" t="str">
        <f>IF(NSTonghop!$E43&lt;&gt;0,0,NSTonghop!R43)</f>
        <v>Vĩnh Hưng-VTT</v>
      </c>
      <c r="S43" s="122" t="str">
        <f>IF(NSTonghop!$E43&lt;&gt;0,0,NSTonghop!S43)</f>
        <v>PTTH/93/Khá</v>
      </c>
      <c r="T43" s="122" t="str">
        <f>IF(NSTonghop!$E43&lt;&gt;0,0,NSTonghop!T43)</f>
        <v>CĐ3/Anh/96/Giỏi</v>
      </c>
      <c r="U43" s="122" t="str">
        <f>IF(NSTonghop!$E43&lt;&gt;0,0,NSTonghop!U43)</f>
        <v>ĐHTC/Anh/02/Khá</v>
      </c>
      <c r="V43" s="122">
        <f>IF(NSTonghop!$E43&lt;&gt;0,0,NSTonghop!V43)</f>
        <v>0</v>
      </c>
      <c r="W43" s="122" t="str">
        <f>IF(NSTonghop!$E43&lt;&gt;0,0,NSTonghop!W43)</f>
        <v>ĐHTC</v>
      </c>
      <c r="X43" s="122" t="str">
        <f>IF(NSTonghop!$E43&lt;&gt;0,0,NSTonghop!X43)</f>
        <v>T.Anh</v>
      </c>
      <c r="Y43" s="122" t="str">
        <f>IF(NSTonghop!$E43&lt;&gt;0,0,NSTonghop!Y43)</f>
        <v>T.Anh</v>
      </c>
      <c r="Z43" s="122">
        <f>IF(NSTonghop!$E43&lt;&gt;0,0,NSTonghop!Z43)</f>
        <v>0</v>
      </c>
      <c r="AA43" s="122" t="str">
        <f>IF(NSTonghop!$E43&lt;&gt;0,0,NSTonghop!AA43)</f>
        <v>SC/18</v>
      </c>
      <c r="AB43" s="122" t="str">
        <f>IF(NSTonghop!$E43&lt;&gt;0,0,NSTonghop!AB43)</f>
        <v>A/04/Giỏi</v>
      </c>
      <c r="AC43" s="122" t="str">
        <f>IF(NSTonghop!$E43&lt;&gt;0,0,NSTonghop!AC43)</f>
        <v>B2/Anh/13</v>
      </c>
      <c r="AD43" s="122" t="str">
        <f>IF(NSTonghop!$E43&lt;&gt;0,0,NSTonghop!AD43)</f>
        <v>A/Pháp/10/Khá</v>
      </c>
      <c r="AE43" s="122" t="str">
        <f>IF(NSTonghop!$E43&lt;&gt;0,0,NSTonghop!AE43)</f>
        <v>B/Anh/95/TB</v>
      </c>
      <c r="AF43" s="122" t="str">
        <f>IF(NSTonghop!$E43&lt;&gt;0,0,NSTonghop!AF43)</f>
        <v>A2/Pháp/16</v>
      </c>
      <c r="AG43" s="122" t="str">
        <f>IF(NSTonghop!$E43&lt;&gt;0,0,NSTonghop!AG43)</f>
        <v>V.07.04.11</v>
      </c>
      <c r="AH43" s="122" t="str">
        <f>IF(NSTonghop!$E43&lt;&gt;0,0,NSTonghop!AH43)</f>
        <v>CN/10/Giỏi</v>
      </c>
      <c r="AI43" s="122">
        <f>IF(NSTonghop!$E43&lt;&gt;0,0,NSTonghop!AI43)</f>
        <v>5002001444</v>
      </c>
      <c r="AJ43" s="122">
        <f>IF(NSTonghop!$E43&lt;&gt;0,0,NSTonghop!AJ43)</f>
        <v>351235241</v>
      </c>
      <c r="AK43" s="122" t="str">
        <f>IF(NSTonghop!$E43&lt;&gt;0,0,NSTonghop!AK43)</f>
        <v>18/11/2010</v>
      </c>
      <c r="AL43" s="122" t="str">
        <f>IF(NSTonghop!$E43&lt;&gt;0,0,NSTonghop!AL43)</f>
        <v>01/09/1996</v>
      </c>
      <c r="AM43" s="122" t="str">
        <f>IF(NSTonghop!$E43&lt;&gt;0,0,NSTonghop!AM43)</f>
        <v>26/08/2003</v>
      </c>
      <c r="AN43" s="122" t="str">
        <f>IF(NSTonghop!$E43&lt;&gt;0,0,NSTonghop!AN43)</f>
        <v>01/01/1999</v>
      </c>
      <c r="AO43" s="122" t="str">
        <f>IF(NSTonghop!$E43&lt;&gt;0,0,NSTonghop!AO43)</f>
        <v>22/11/2008</v>
      </c>
      <c r="AP43" s="122" t="str">
        <f>IF(NSTonghop!$E43&lt;&gt;0,0,NSTonghop!AP43)</f>
        <v>31.038 081</v>
      </c>
      <c r="AQ43" s="122">
        <f>IF(NSTonghop!$E43&lt;&gt;0,0,NSTonghop!AQ43)</f>
        <v>2008</v>
      </c>
      <c r="AR43" s="122">
        <f>IF(NSTonghop!$E43&lt;&gt;0,0,NSTonghop!AR43)</f>
        <v>0</v>
      </c>
      <c r="AS43" s="122">
        <f>IF(NSTonghop!$E43&lt;&gt;0,0,NSTonghop!AS43)</f>
        <v>0</v>
      </c>
      <c r="AT43" s="122" t="str">
        <f>IF(NSTonghop!$E43&lt;&gt;0,0,NSTonghop!AT43)</f>
        <v>0365858855</v>
      </c>
      <c r="AU43" s="212"/>
    </row>
    <row r="44" spans="1:47" s="118" customFormat="1" x14ac:dyDescent="0.25">
      <c r="A44" s="220"/>
      <c r="B44" s="128">
        <f>IF(F44&lt;&gt;0,MAX($B$8:B43)+1,"")</f>
        <v>32</v>
      </c>
      <c r="C44" s="132">
        <f>IF(F44=0,0,MAX($C$43:C43)+1)</f>
        <v>2</v>
      </c>
      <c r="D44" s="441">
        <f>IF(NSTonghop!$E44&lt;&gt;0,0,NSTonghop!D44)</f>
        <v>1291</v>
      </c>
      <c r="E44" s="128">
        <f>IF(NSTonghop!E44&lt;&gt;0,0,0)</f>
        <v>0</v>
      </c>
      <c r="F44" s="128" t="str">
        <f>IF(NSTonghop!$E44&lt;&gt;0,0,NSTonghop!F44)</f>
        <v>Huỳnh Thị Lang Chi</v>
      </c>
      <c r="G44" s="128" t="str">
        <f>IF(NSTonghop!$E44&lt;&gt;0,0,NSTonghop!G44)</f>
        <v>x</v>
      </c>
      <c r="H44" s="128">
        <f>IF(NSTonghop!$E44&lt;&gt;0,0,NSTonghop!H44)</f>
        <v>0</v>
      </c>
      <c r="I44" s="128" t="str">
        <f>IF(NSTonghop!$E44&lt;&gt;0,0,NSTonghop!I44)</f>
        <v>06/08/1971</v>
      </c>
      <c r="J44" s="128">
        <f>IF(NSTonghop!$E44&lt;&gt;0,0,NSTonghop!J44)</f>
        <v>0</v>
      </c>
      <c r="K44" s="128">
        <f>IF(NSTonghop!$E44&lt;&gt;0,0,NSTonghop!K44)</f>
        <v>1971</v>
      </c>
      <c r="L44" s="128" t="str">
        <f>IF(NSTonghop!$E44&lt;&gt;0,0,NSTonghop!L44)</f>
        <v>GV</v>
      </c>
      <c r="M44" s="128">
        <f>IF(NSTonghop!$E44&lt;&gt;0,0,NSTonghop!M44)</f>
        <v>0</v>
      </c>
      <c r="N44" s="128" t="str">
        <f>IF(NSTonghop!$E44&lt;&gt;0,0,NSTonghop!N44)</f>
        <v>Phật</v>
      </c>
      <c r="O44" s="128" t="str">
        <f>IF(NSTonghop!$E44&lt;&gt;0,0,NSTonghop!O44)</f>
        <v>Viên chức</v>
      </c>
      <c r="P44" s="128" t="str">
        <f>IF(NSTonghop!$E44&lt;&gt;0,0,NSTonghop!P44)</f>
        <v>Vĩnh Thạnh Trung-An Giang</v>
      </c>
      <c r="Q44" s="128" t="str">
        <f>IF(NSTonghop!$E44&lt;&gt;0,0,NSTonghop!Q44)</f>
        <v>Vĩnh Thạnh Trung-Châu Phú</v>
      </c>
      <c r="R44" s="128" t="str">
        <f>IF(NSTonghop!$E44&lt;&gt;0,0,NSTonghop!R44)</f>
        <v>Vĩnh Phúc-Cái Dầu</v>
      </c>
      <c r="S44" s="128" t="str">
        <f>IF(NSTonghop!$E44&lt;&gt;0,0,NSTonghop!S44)</f>
        <v>PTTH/89/TB</v>
      </c>
      <c r="T44" s="128" t="str">
        <f>IF(NSTonghop!$E44&lt;&gt;0,0,NSTonghop!T44)</f>
        <v>CĐ3/Anh/93/TB</v>
      </c>
      <c r="U44" s="128" t="str">
        <f>IF(NSTonghop!$E44&lt;&gt;0,0,NSTonghop!U44)</f>
        <v>ĐHTC/Anh/04/Khá</v>
      </c>
      <c r="V44" s="128">
        <f>IF(NSTonghop!$E44&lt;&gt;0,0,NSTonghop!V44)</f>
        <v>0</v>
      </c>
      <c r="W44" s="128" t="str">
        <f>IF(NSTonghop!$E44&lt;&gt;0,0,NSTonghop!W44)</f>
        <v>ĐHTC</v>
      </c>
      <c r="X44" s="128" t="str">
        <f>IF(NSTonghop!$E44&lt;&gt;0,0,NSTonghop!X44)</f>
        <v>T.Anh</v>
      </c>
      <c r="Y44" s="128" t="str">
        <f>IF(NSTonghop!$E44&lt;&gt;0,0,NSTonghop!Y44)</f>
        <v>T.Anh</v>
      </c>
      <c r="Z44" s="128">
        <f>IF(NSTonghop!$E44&lt;&gt;0,0,NSTonghop!Z44)</f>
        <v>0</v>
      </c>
      <c r="AA44" s="128">
        <f>IF(NSTonghop!$E44&lt;&gt;0,0,NSTonghop!AA44)</f>
        <v>0</v>
      </c>
      <c r="AB44" s="128" t="str">
        <f>IF(NSTonghop!$E44&lt;&gt;0,0,NSTonghop!AB44)</f>
        <v>A/08/Giỏi</v>
      </c>
      <c r="AC44" s="128" t="str">
        <f>IF(NSTonghop!$E44&lt;&gt;0,0,NSTonghop!AC44)</f>
        <v>B/Anh/95/TB</v>
      </c>
      <c r="AD44" s="128" t="str">
        <f>IF(NSTonghop!$E44&lt;&gt;0,0,NSTonghop!AD44)</f>
        <v>A/Pháp/10/Khá</v>
      </c>
      <c r="AE44" s="128">
        <f>IF(NSTonghop!$E44&lt;&gt;0,0,NSTonghop!AE44)</f>
        <v>0</v>
      </c>
      <c r="AF44" s="128" t="str">
        <f>IF(NSTonghop!$E44&lt;&gt;0,0,NSTonghop!AF44)</f>
        <v>A2/Pháp/16</v>
      </c>
      <c r="AG44" s="128" t="str">
        <f>IF(NSTonghop!$E44&lt;&gt;0,0,NSTonghop!AG44)</f>
        <v>V.07.04.11</v>
      </c>
      <c r="AH44" s="128">
        <f>IF(NSTonghop!$E44&lt;&gt;0,0,NSTonghop!AH44)</f>
        <v>0</v>
      </c>
      <c r="AI44" s="128">
        <f>IF(NSTonghop!$E44&lt;&gt;0,0,NSTonghop!AI44)</f>
        <v>5096011937</v>
      </c>
      <c r="AJ44" s="128">
        <f>IF(NSTonghop!$E44&lt;&gt;0,0,NSTonghop!AJ44)</f>
        <v>351008303</v>
      </c>
      <c r="AK44" s="128" t="str">
        <f>IF(NSTonghop!$E44&lt;&gt;0,0,NSTonghop!AK44)</f>
        <v>03/05/2007</v>
      </c>
      <c r="AL44" s="128" t="str">
        <f>IF(NSTonghop!$E44&lt;&gt;0,0,NSTonghop!AL44)</f>
        <v>01/09/1993</v>
      </c>
      <c r="AM44" s="128" t="str">
        <f>IF(NSTonghop!$E44&lt;&gt;0,0,NSTonghop!AM44)</f>
        <v>05/09/1999</v>
      </c>
      <c r="AN44" s="128" t="str">
        <f>IF(NSTonghop!$E44&lt;&gt;0,0,NSTonghop!AN44)</f>
        <v>01/12/1995</v>
      </c>
      <c r="AO44" s="128">
        <f>IF(NSTonghop!$E44&lt;&gt;0,0,NSTonghop!AO44)</f>
        <v>0</v>
      </c>
      <c r="AP44" s="128">
        <f>IF(NSTonghop!$E44&lt;&gt;0,0,NSTonghop!AP44)</f>
        <v>0</v>
      </c>
      <c r="AQ44" s="128" t="str">
        <f>IF(NSTonghop!$E44&lt;&gt;0,0,NSTonghop!AQ44)</f>
        <v/>
      </c>
      <c r="AR44" s="128">
        <f>IF(NSTonghop!$E44&lt;&gt;0,0,NSTonghop!AR44)</f>
        <v>0</v>
      </c>
      <c r="AS44" s="128">
        <f>IF(NSTonghop!$E44&lt;&gt;0,0,NSTonghop!AS44)</f>
        <v>0</v>
      </c>
      <c r="AT44" s="128" t="str">
        <f>IF(NSTonghop!$E44&lt;&gt;0,0,NSTonghop!AT44)</f>
        <v>0903645384</v>
      </c>
      <c r="AU44" s="212"/>
    </row>
    <row r="45" spans="1:47" s="118" customFormat="1" x14ac:dyDescent="0.25">
      <c r="A45" s="220"/>
      <c r="B45" s="128">
        <f>IF(F45&lt;&gt;0,MAX($B$8:B44)+1,"")</f>
        <v>33</v>
      </c>
      <c r="C45" s="132">
        <f>IF(F45=0,0,MAX($C$43:C44)+1)</f>
        <v>3</v>
      </c>
      <c r="D45" s="441">
        <f>IF(NSTonghop!$E45&lt;&gt;0,0,NSTonghop!D45)</f>
        <v>16049</v>
      </c>
      <c r="E45" s="128">
        <f>IF(NSTonghop!E45&lt;&gt;0,0,0)</f>
        <v>0</v>
      </c>
      <c r="F45" s="128" t="str">
        <f>IF(NSTonghop!$E45&lt;&gt;0,0,NSTonghop!F45)</f>
        <v>Đoàn Thị Viên An</v>
      </c>
      <c r="G45" s="128" t="str">
        <f>IF(NSTonghop!$E45&lt;&gt;0,0,NSTonghop!G45)</f>
        <v>x</v>
      </c>
      <c r="H45" s="128">
        <f>IF(NSTonghop!$E45&lt;&gt;0,0,NSTonghop!H45)</f>
        <v>0</v>
      </c>
      <c r="I45" s="128" t="str">
        <f>IF(NSTonghop!$E45&lt;&gt;0,0,NSTonghop!I45)</f>
        <v>09/03/1978</v>
      </c>
      <c r="J45" s="128">
        <f>IF(NSTonghop!$E45&lt;&gt;0,0,NSTonghop!J45)</f>
        <v>0</v>
      </c>
      <c r="K45" s="128">
        <f>IF(NSTonghop!$E45&lt;&gt;0,0,NSTonghop!K45)</f>
        <v>1978</v>
      </c>
      <c r="L45" s="128" t="str">
        <f>IF(NSTonghop!$E45&lt;&gt;0,0,NSTonghop!L45)</f>
        <v>GV</v>
      </c>
      <c r="M45" s="128">
        <f>IF(NSTonghop!$E45&lt;&gt;0,0,NSTonghop!M45)</f>
        <v>0</v>
      </c>
      <c r="N45" s="128" t="str">
        <f>IF(NSTonghop!$E45&lt;&gt;0,0,NSTonghop!N45)</f>
        <v>x</v>
      </c>
      <c r="O45" s="128" t="str">
        <f>IF(NSTonghop!$E45&lt;&gt;0,0,NSTonghop!O45)</f>
        <v>Viên chức</v>
      </c>
      <c r="P45" s="128" t="str">
        <f>IF(NSTonghop!$E45&lt;&gt;0,0,NSTonghop!P45)</f>
        <v>Mỹ Đức-An Giang</v>
      </c>
      <c r="Q45" s="128" t="str">
        <f>IF(NSTonghop!$E45&lt;&gt;0,0,NSTonghop!Q45)</f>
        <v>Vĩnh Tế-Châu Đốc</v>
      </c>
      <c r="R45" s="128" t="str">
        <f>IF(NSTonghop!$E45&lt;&gt;0,0,NSTonghop!R45)</f>
        <v>Vĩnh Phúc-Cái Dầu</v>
      </c>
      <c r="S45" s="128" t="str">
        <f>IF(NSTonghop!$E45&lt;&gt;0,0,NSTonghop!S45)</f>
        <v>PTTH/95/KXL</v>
      </c>
      <c r="T45" s="128" t="str">
        <f>IF(NSTonghop!$E45&lt;&gt;0,0,NSTonghop!T45)</f>
        <v>CĐ3/Anh/99/TB</v>
      </c>
      <c r="U45" s="128" t="str">
        <f>IF(NSTonghop!$E45&lt;&gt;0,0,NSTonghop!U45)</f>
        <v>ĐHTX/Anh/05/TBK</v>
      </c>
      <c r="V45" s="128">
        <f>IF(NSTonghop!$E45&lt;&gt;0,0,NSTonghop!V45)</f>
        <v>0</v>
      </c>
      <c r="W45" s="128" t="str">
        <f>IF(NSTonghop!$E45&lt;&gt;0,0,NSTonghop!W45)</f>
        <v>ĐHTX</v>
      </c>
      <c r="X45" s="128" t="str">
        <f>IF(NSTonghop!$E45&lt;&gt;0,0,NSTonghop!X45)</f>
        <v>T.Anh</v>
      </c>
      <c r="Y45" s="128" t="str">
        <f>IF(NSTonghop!$E45&lt;&gt;0,0,NSTonghop!Y45)</f>
        <v>T.Anh</v>
      </c>
      <c r="Z45" s="128">
        <f>IF(NSTonghop!$E45&lt;&gt;0,0,NSTonghop!Z45)</f>
        <v>0</v>
      </c>
      <c r="AA45" s="128">
        <f>IF(NSTonghop!$E45&lt;&gt;0,0,NSTonghop!AA45)</f>
        <v>0</v>
      </c>
      <c r="AB45" s="128" t="str">
        <f>IF(NSTonghop!$E45&lt;&gt;0,0,NSTonghop!AB45)</f>
        <v>A/08/Giỏi</v>
      </c>
      <c r="AC45" s="128">
        <f>IF(NSTonghop!$E45&lt;&gt;0,0,NSTonghop!AC45)</f>
        <v>0</v>
      </c>
      <c r="AD45" s="128">
        <f>IF(NSTonghop!$E45&lt;&gt;0,0,NSTonghop!AD45)</f>
        <v>0</v>
      </c>
      <c r="AE45" s="128">
        <f>IF(NSTonghop!$E45&lt;&gt;0,0,NSTonghop!AE45)</f>
        <v>0</v>
      </c>
      <c r="AF45" s="128">
        <f>IF(NSTonghop!$E45&lt;&gt;0,0,NSTonghop!AF45)</f>
        <v>0</v>
      </c>
      <c r="AG45" s="128" t="str">
        <f>IF(NSTonghop!$E45&lt;&gt;0,0,NSTonghop!AG45)</f>
        <v>V.07.04.11</v>
      </c>
      <c r="AH45" s="128">
        <f>IF(NSTonghop!$E45&lt;&gt;0,0,NSTonghop!AH45)</f>
        <v>0</v>
      </c>
      <c r="AI45" s="128">
        <f>IF(NSTonghop!$E45&lt;&gt;0,0,NSTonghop!AI45)</f>
        <v>5099036035</v>
      </c>
      <c r="AJ45" s="128">
        <f>IF(NSTonghop!$E45&lt;&gt;0,0,NSTonghop!AJ45)</f>
        <v>351235969</v>
      </c>
      <c r="AK45" s="128" t="str">
        <f>IF(NSTonghop!$E45&lt;&gt;0,0,NSTonghop!AK45)</f>
        <v>27/06/2000</v>
      </c>
      <c r="AL45" s="128" t="str">
        <f>IF(NSTonghop!$E45&lt;&gt;0,0,NSTonghop!AL45)</f>
        <v>01/09/1999</v>
      </c>
      <c r="AM45" s="128" t="str">
        <f>IF(NSTonghop!$E45&lt;&gt;0,0,NSTonghop!AM45)</f>
        <v>01/09/1999</v>
      </c>
      <c r="AN45" s="128" t="str">
        <f>IF(NSTonghop!$E45&lt;&gt;0,0,NSTonghop!AN45)</f>
        <v>01/04/2000</v>
      </c>
      <c r="AO45" s="128">
        <f>IF(NSTonghop!$E45&lt;&gt;0,0,NSTonghop!AO45)</f>
        <v>0</v>
      </c>
      <c r="AP45" s="128">
        <f>IF(NSTonghop!$E45&lt;&gt;0,0,NSTonghop!AP45)</f>
        <v>0</v>
      </c>
      <c r="AQ45" s="128" t="str">
        <f>IF(NSTonghop!$E45&lt;&gt;0,0,NSTonghop!AQ45)</f>
        <v/>
      </c>
      <c r="AR45" s="128">
        <f>IF(NSTonghop!$E45&lt;&gt;0,0,NSTonghop!AR45)</f>
        <v>0</v>
      </c>
      <c r="AS45" s="128">
        <f>IF(NSTonghop!$E45&lt;&gt;0,0,NSTonghop!AS45)</f>
        <v>0</v>
      </c>
      <c r="AT45" s="128" t="str">
        <f>IF(NSTonghop!$E45&lt;&gt;0,0,NSTonghop!AT45)</f>
        <v>0907363108</v>
      </c>
      <c r="AU45" s="212"/>
    </row>
    <row r="46" spans="1:47" s="118" customFormat="1" x14ac:dyDescent="0.25">
      <c r="A46" s="220"/>
      <c r="B46" s="128">
        <f>IF(F46&lt;&gt;0,MAX($B$8:B45)+1,"")</f>
        <v>34</v>
      </c>
      <c r="C46" s="132">
        <f>IF(F46=0,0,MAX($C$43:C45)+1)</f>
        <v>4</v>
      </c>
      <c r="D46" s="441">
        <f>IF(NSTonghop!$E46&lt;&gt;0,0,NSTonghop!D46)</f>
        <v>15356</v>
      </c>
      <c r="E46" s="128">
        <f>IF(NSTonghop!E46&lt;&gt;0,0,0)</f>
        <v>0</v>
      </c>
      <c r="F46" s="128" t="str">
        <f>IF(NSTonghop!$E46&lt;&gt;0,0,NSTonghop!F46)</f>
        <v>Nguyễn Thị Đầm</v>
      </c>
      <c r="G46" s="128" t="str">
        <f>IF(NSTonghop!$E46&lt;&gt;0,0,NSTonghop!G46)</f>
        <v>x</v>
      </c>
      <c r="H46" s="128">
        <f>IF(NSTonghop!$E46&lt;&gt;0,0,NSTonghop!H46)</f>
        <v>0</v>
      </c>
      <c r="I46" s="128" t="str">
        <f>IF(NSTonghop!$E46&lt;&gt;0,0,NSTonghop!I46)</f>
        <v>06/06/1976</v>
      </c>
      <c r="J46" s="128">
        <f>IF(NSTonghop!$E46&lt;&gt;0,0,NSTonghop!J46)</f>
        <v>0</v>
      </c>
      <c r="K46" s="128">
        <f>IF(NSTonghop!$E46&lt;&gt;0,0,NSTonghop!K46)</f>
        <v>1976</v>
      </c>
      <c r="L46" s="128" t="str">
        <f>IF(NSTonghop!$E46&lt;&gt;0,0,NSTonghop!L46)</f>
        <v>GV</v>
      </c>
      <c r="M46" s="128">
        <f>IF(NSTonghop!$E46&lt;&gt;0,0,NSTonghop!M46)</f>
        <v>0</v>
      </c>
      <c r="N46" s="128" t="str">
        <f>IF(NSTonghop!$E46&lt;&gt;0,0,NSTonghop!N46)</f>
        <v>Phật</v>
      </c>
      <c r="O46" s="128" t="str">
        <f>IF(NSTonghop!$E46&lt;&gt;0,0,NSTonghop!O46)</f>
        <v>Nông dân</v>
      </c>
      <c r="P46" s="128" t="str">
        <f>IF(NSTonghop!$E46&lt;&gt;0,0,NSTonghop!P46)</f>
        <v>Bình Mỹ-An Giang</v>
      </c>
      <c r="Q46" s="128" t="str">
        <f>IF(NSTonghop!$E46&lt;&gt;0,0,NSTonghop!Q46)</f>
        <v>Bình Mỹ-Châu Phú</v>
      </c>
      <c r="R46" s="128" t="str">
        <f>IF(NSTonghop!$E46&lt;&gt;0,0,NSTonghop!R46)</f>
        <v>Bình Minh-Bình Mỹ</v>
      </c>
      <c r="S46" s="128" t="str">
        <f>IF(NSTonghop!$E46&lt;&gt;0,0,NSTonghop!S46)</f>
        <v>PTTH/94/TB</v>
      </c>
      <c r="T46" s="128" t="str">
        <f>IF(NSTonghop!$E46&lt;&gt;0,0,NSTonghop!T46)</f>
        <v>CĐ3/Anh/98/TB</v>
      </c>
      <c r="U46" s="128" t="str">
        <f>IF(NSTonghop!$E46&lt;&gt;0,0,NSTonghop!U46)</f>
        <v>ĐHTX/Anh/04/Khá</v>
      </c>
      <c r="V46" s="128">
        <f>IF(NSTonghop!$E46&lt;&gt;0,0,NSTonghop!V46)</f>
        <v>0</v>
      </c>
      <c r="W46" s="128" t="str">
        <f>IF(NSTonghop!$E46&lt;&gt;0,0,NSTonghop!W46)</f>
        <v>ĐHTX</v>
      </c>
      <c r="X46" s="128" t="str">
        <f>IF(NSTonghop!$E46&lt;&gt;0,0,NSTonghop!X46)</f>
        <v>T.Anh</v>
      </c>
      <c r="Y46" s="128" t="str">
        <f>IF(NSTonghop!$E46&lt;&gt;0,0,NSTonghop!Y46)</f>
        <v>T.Anh</v>
      </c>
      <c r="Z46" s="128">
        <f>IF(NSTonghop!$E46&lt;&gt;0,0,NSTonghop!Z46)</f>
        <v>0</v>
      </c>
      <c r="AA46" s="128">
        <f>IF(NSTonghop!$E46&lt;&gt;0,0,NSTonghop!AA46)</f>
        <v>0</v>
      </c>
      <c r="AB46" s="128" t="str">
        <f>IF(NSTonghop!$E46&lt;&gt;0,0,NSTonghop!AB46)</f>
        <v>A/97/Khá</v>
      </c>
      <c r="AC46" s="128" t="str">
        <f>IF(NSTonghop!$E46&lt;&gt;0,0,NSTonghop!AC46)</f>
        <v>B2/Anh/16</v>
      </c>
      <c r="AD46" s="128" t="str">
        <f>IF(NSTonghop!$E46&lt;&gt;0,0,NSTonghop!AD46)</f>
        <v>B/Anh/97/TB</v>
      </c>
      <c r="AE46" s="128">
        <f>IF(NSTonghop!$E46&lt;&gt;0,0,NSTonghop!AE46)</f>
        <v>0</v>
      </c>
      <c r="AF46" s="128">
        <f>IF(NSTonghop!$E46&lt;&gt;0,0,NSTonghop!AF46)</f>
        <v>0</v>
      </c>
      <c r="AG46" s="128" t="str">
        <f>IF(NSTonghop!$E46&lt;&gt;0,0,NSTonghop!AG46)</f>
        <v>V.07.04.11</v>
      </c>
      <c r="AH46" s="128">
        <f>IF(NSTonghop!$E46&lt;&gt;0,0,NSTonghop!AH46)</f>
        <v>0</v>
      </c>
      <c r="AI46" s="128">
        <f>IF(NSTonghop!$E46&lt;&gt;0,0,NSTonghop!AI46)</f>
        <v>5099029938</v>
      </c>
      <c r="AJ46" s="128">
        <f>IF(NSTonghop!$E46&lt;&gt;0,0,NSTonghop!AJ46)</f>
        <v>351126645</v>
      </c>
      <c r="AK46" s="128" t="str">
        <f>IF(NSTonghop!$E46&lt;&gt;0,0,NSTonghop!AK46)</f>
        <v>18/08/2015</v>
      </c>
      <c r="AL46" s="128" t="str">
        <f>IF(NSTonghop!$E46&lt;&gt;0,0,NSTonghop!AL46)</f>
        <v>01/09/1998</v>
      </c>
      <c r="AM46" s="128" t="str">
        <f>IF(NSTonghop!$E46&lt;&gt;0,0,NSTonghop!AM46)</f>
        <v>11/07/2016</v>
      </c>
      <c r="AN46" s="128" t="str">
        <f>IF(NSTonghop!$E46&lt;&gt;0,0,NSTonghop!AN46)</f>
        <v>01/04/1999</v>
      </c>
      <c r="AO46" s="128">
        <f>IF(NSTonghop!$E46&lt;&gt;0,0,NSTonghop!AO46)</f>
        <v>0</v>
      </c>
      <c r="AP46" s="128">
        <f>IF(NSTonghop!$E46&lt;&gt;0,0,NSTonghop!AP46)</f>
        <v>0</v>
      </c>
      <c r="AQ46" s="128" t="str">
        <f>IF(NSTonghop!$E46&lt;&gt;0,0,NSTonghop!AQ46)</f>
        <v/>
      </c>
      <c r="AR46" s="128">
        <f>IF(NSTonghop!$E46&lt;&gt;0,0,NSTonghop!AR46)</f>
        <v>0</v>
      </c>
      <c r="AS46" s="128">
        <f>IF(NSTonghop!$E46&lt;&gt;0,0,NSTonghop!AS46)</f>
        <v>0</v>
      </c>
      <c r="AT46" s="128">
        <f>IF(NSTonghop!$E46&lt;&gt;0,0,NSTonghop!AT46)</f>
        <v>363131144</v>
      </c>
      <c r="AU46" s="212"/>
    </row>
    <row r="47" spans="1:47" s="118" customFormat="1" x14ac:dyDescent="0.25">
      <c r="A47" s="220"/>
      <c r="B47" s="128">
        <f>IF(F47&lt;&gt;0,MAX($B$8:B46)+1,"")</f>
        <v>35</v>
      </c>
      <c r="C47" s="132">
        <f>IF(F47=0,0,MAX($C$43:C46)+1)</f>
        <v>5</v>
      </c>
      <c r="D47" s="441">
        <f>IF(NSTonghop!$E47&lt;&gt;0,0,NSTonghop!D47)</f>
        <v>22626</v>
      </c>
      <c r="E47" s="128">
        <f>IF(NSTonghop!E47&lt;&gt;0,0,0)</f>
        <v>0</v>
      </c>
      <c r="F47" s="128" t="str">
        <f>IF(NSTonghop!$E47&lt;&gt;0,0,NSTonghop!F47)</f>
        <v>Trần Thị Thanh Tiền</v>
      </c>
      <c r="G47" s="128" t="str">
        <f>IF(NSTonghop!$E47&lt;&gt;0,0,NSTonghop!G47)</f>
        <v>x</v>
      </c>
      <c r="H47" s="128">
        <f>IF(NSTonghop!$E47&lt;&gt;0,0,NSTonghop!H47)</f>
        <v>0</v>
      </c>
      <c r="I47" s="128" t="str">
        <f>IF(NSTonghop!$E47&lt;&gt;0,0,NSTonghop!I47)</f>
        <v>05/10/1981</v>
      </c>
      <c r="J47" s="128">
        <f>IF(NSTonghop!$E47&lt;&gt;0,0,NSTonghop!J47)</f>
        <v>0</v>
      </c>
      <c r="K47" s="128">
        <f>IF(NSTonghop!$E47&lt;&gt;0,0,NSTonghop!K47)</f>
        <v>1981</v>
      </c>
      <c r="L47" s="128" t="str">
        <f>IF(NSTonghop!$E47&lt;&gt;0,0,NSTonghop!L47)</f>
        <v>GV</v>
      </c>
      <c r="M47" s="128">
        <f>IF(NSTonghop!$E47&lt;&gt;0,0,NSTonghop!M47)</f>
        <v>0</v>
      </c>
      <c r="N47" s="128" t="str">
        <f>IF(NSTonghop!$E47&lt;&gt;0,0,NSTonghop!N47)</f>
        <v>x</v>
      </c>
      <c r="O47" s="128" t="str">
        <f>IF(NSTonghop!$E47&lt;&gt;0,0,NSTonghop!O47)</f>
        <v>Nông dân</v>
      </c>
      <c r="P47" s="128" t="str">
        <f>IF(NSTonghop!$E47&lt;&gt;0,0,NSTonghop!P47)</f>
        <v>Bình Long-An Giang</v>
      </c>
      <c r="Q47" s="128" t="str">
        <f>IF(NSTonghop!$E47&lt;&gt;0,0,NSTonghop!Q47)</f>
        <v>Bình Long-Châu Phú</v>
      </c>
      <c r="R47" s="128" t="str">
        <f>IF(NSTonghop!$E47&lt;&gt;0,0,NSTonghop!R47)</f>
        <v>704/9 Vĩnh Thành-Cái Dầu</v>
      </c>
      <c r="S47" s="128" t="str">
        <f>IF(NSTonghop!$E47&lt;&gt;0,0,NSTonghop!S47)</f>
        <v>PTTH/99/Khá</v>
      </c>
      <c r="T47" s="128" t="str">
        <f>IF(NSTonghop!$E47&lt;&gt;0,0,NSTonghop!T47)</f>
        <v>CĐ3/Anh/03/Khá</v>
      </c>
      <c r="U47" s="128" t="str">
        <f>IF(NSTonghop!$E47&lt;&gt;0,0,NSTonghop!U47)</f>
        <v>ĐHTX/Anh/08/Khá</v>
      </c>
      <c r="V47" s="128">
        <f>IF(NSTonghop!$E47&lt;&gt;0,0,NSTonghop!V47)</f>
        <v>0</v>
      </c>
      <c r="W47" s="128" t="str">
        <f>IF(NSTonghop!$E47&lt;&gt;0,0,NSTonghop!W47)</f>
        <v>ĐHTX</v>
      </c>
      <c r="X47" s="128" t="str">
        <f>IF(NSTonghop!$E47&lt;&gt;0,0,NSTonghop!X47)</f>
        <v>T.Anh</v>
      </c>
      <c r="Y47" s="128" t="str">
        <f>IF(NSTonghop!$E47&lt;&gt;0,0,NSTonghop!Y47)</f>
        <v>T.Anh</v>
      </c>
      <c r="Z47" s="128">
        <f>IF(NSTonghop!$E47&lt;&gt;0,0,NSTonghop!Z47)</f>
        <v>0</v>
      </c>
      <c r="AA47" s="128">
        <f>IF(NSTonghop!$E47&lt;&gt;0,0,NSTonghop!AA47)</f>
        <v>0</v>
      </c>
      <c r="AB47" s="128" t="str">
        <f>IF(NSTonghop!$E47&lt;&gt;0,0,NSTonghop!AB47)</f>
        <v>A/03/Giỏi</v>
      </c>
      <c r="AC47" s="128" t="str">
        <f>IF(NSTonghop!$E47&lt;&gt;0,0,NSTonghop!AC47)</f>
        <v>B2/Anh/15</v>
      </c>
      <c r="AD47" s="128" t="str">
        <f>IF(NSTonghop!$E47&lt;&gt;0,0,NSTonghop!AD47)</f>
        <v>A/Pháp/10/Khá</v>
      </c>
      <c r="AE47" s="128">
        <f>IF(NSTonghop!$E47&lt;&gt;0,0,NSTonghop!AE47)</f>
        <v>0</v>
      </c>
      <c r="AF47" s="128">
        <f>IF(NSTonghop!$E47&lt;&gt;0,0,NSTonghop!AF47)</f>
        <v>0</v>
      </c>
      <c r="AG47" s="128" t="str">
        <f>IF(NSTonghop!$E47&lt;&gt;0,0,NSTonghop!AG47)</f>
        <v>V.07.04.11</v>
      </c>
      <c r="AH47" s="128" t="str">
        <f>IF(NSTonghop!$E47&lt;&gt;0,0,NSTonghop!AH47)</f>
        <v>CC/13/Khá</v>
      </c>
      <c r="AI47" s="128">
        <f>IF(NSTonghop!$E47&lt;&gt;0,0,NSTonghop!AI47)</f>
        <v>5004003304</v>
      </c>
      <c r="AJ47" s="128">
        <f>IF(NSTonghop!$E47&lt;&gt;0,0,NSTonghop!AJ47)</f>
        <v>351423503</v>
      </c>
      <c r="AK47" s="128" t="str">
        <f>IF(NSTonghop!$E47&lt;&gt;0,0,NSTonghop!AK47)</f>
        <v>01/03/2012</v>
      </c>
      <c r="AL47" s="128" t="str">
        <f>IF(NSTonghop!$E47&lt;&gt;0,0,NSTonghop!AL47)</f>
        <v>01/09/2003</v>
      </c>
      <c r="AM47" s="128" t="str">
        <f>IF(NSTonghop!$E47&lt;&gt;0,0,NSTonghop!AM47)</f>
        <v>01/09/2003</v>
      </c>
      <c r="AN47" s="128" t="str">
        <f>IF(NSTonghop!$E47&lt;&gt;0,0,NSTonghop!AN47)</f>
        <v>01/03/2004</v>
      </c>
      <c r="AO47" s="128">
        <f>IF(NSTonghop!$E47&lt;&gt;0,0,NSTonghop!AO47)</f>
        <v>0</v>
      </c>
      <c r="AP47" s="128">
        <f>IF(NSTonghop!$E47&lt;&gt;0,0,NSTonghop!AP47)</f>
        <v>0</v>
      </c>
      <c r="AQ47" s="128" t="str">
        <f>IF(NSTonghop!$E47&lt;&gt;0,0,NSTonghop!AQ47)</f>
        <v/>
      </c>
      <c r="AR47" s="128" t="str">
        <f>IF(NSTonghop!$E47&lt;&gt;0,0,NSTonghop!AR47)</f>
        <v>20/3/1998</v>
      </c>
      <c r="AS47" s="128">
        <f>IF(NSTonghop!$E47&lt;&gt;0,0,NSTonghop!AS47)</f>
        <v>2003</v>
      </c>
      <c r="AT47" s="128" t="str">
        <f>IF(NSTonghop!$E47&lt;&gt;0,0,NSTonghop!AT47)</f>
        <v>0916363166</v>
      </c>
      <c r="AU47" s="212"/>
    </row>
    <row r="48" spans="1:47" s="118" customFormat="1" x14ac:dyDescent="0.25">
      <c r="A48" s="220"/>
      <c r="B48" s="128">
        <f>IF(F48&lt;&gt;0,MAX($B$8:B47)+1,"")</f>
        <v>36</v>
      </c>
      <c r="C48" s="132">
        <f>IF(F48=0,0,MAX($C$43:C47)+1)</f>
        <v>6</v>
      </c>
      <c r="D48" s="441">
        <f>IF(NSTonghop!$E48&lt;&gt;0,0,NSTonghop!D48)</f>
        <v>1226</v>
      </c>
      <c r="E48" s="128">
        <f>IF(NSTonghop!E48&lt;&gt;0,0,0)</f>
        <v>0</v>
      </c>
      <c r="F48" s="128" t="str">
        <f>IF(NSTonghop!$E48&lt;&gt;0,0,NSTonghop!F48)</f>
        <v>Hồ Thị Cẩm Thu</v>
      </c>
      <c r="G48" s="128" t="str">
        <f>IF(NSTonghop!$E48&lt;&gt;0,0,NSTonghop!G48)</f>
        <v>x</v>
      </c>
      <c r="H48" s="128">
        <f>IF(NSTonghop!$E48&lt;&gt;0,0,NSTonghop!H48)</f>
        <v>0</v>
      </c>
      <c r="I48" s="128" t="str">
        <f>IF(NSTonghop!$E48&lt;&gt;0,0,NSTonghop!I48)</f>
        <v>26/12/1967</v>
      </c>
      <c r="J48" s="128">
        <f>IF(NSTonghop!$E48&lt;&gt;0,0,NSTonghop!J48)</f>
        <v>0</v>
      </c>
      <c r="K48" s="128">
        <f>IF(NSTonghop!$E48&lt;&gt;0,0,NSTonghop!K48)</f>
        <v>1967</v>
      </c>
      <c r="L48" s="128" t="str">
        <f>IF(NSTonghop!$E48&lt;&gt;0,0,NSTonghop!L48)</f>
        <v>GV</v>
      </c>
      <c r="M48" s="128">
        <f>IF(NSTonghop!$E48&lt;&gt;0,0,NSTonghop!M48)</f>
        <v>0</v>
      </c>
      <c r="N48" s="128" t="str">
        <f>IF(NSTonghop!$E48&lt;&gt;0,0,NSTonghop!N48)</f>
        <v>Hiếu Nghĩa</v>
      </c>
      <c r="O48" s="128" t="str">
        <f>IF(NSTonghop!$E48&lt;&gt;0,0,NSTonghop!O48)</f>
        <v>Nông dân</v>
      </c>
      <c r="P48" s="128" t="str">
        <f>IF(NSTonghop!$E48&lt;&gt;0,0,NSTonghop!P48)</f>
        <v>Vĩnh Thạnh Trung-An Giang</v>
      </c>
      <c r="Q48" s="128" t="str">
        <f>IF(NSTonghop!$E48&lt;&gt;0,0,NSTonghop!Q48)</f>
        <v>Vĩnh Thạnh Trung-Châu Phú</v>
      </c>
      <c r="R48" s="128" t="str">
        <f>IF(NSTonghop!$E48&lt;&gt;0,0,NSTonghop!R48)</f>
        <v>5 Bình Chiến, Bình Long</v>
      </c>
      <c r="S48" s="128" t="str">
        <f>IF(NSTonghop!$E48&lt;&gt;0,0,NSTonghop!S48)</f>
        <v>PTTH/86/TB</v>
      </c>
      <c r="T48" s="128" t="str">
        <f>IF(NSTonghop!$E48&lt;&gt;0,0,NSTonghop!T48)</f>
        <v>ĐH2/Anh/89</v>
      </c>
      <c r="U48" s="128">
        <f>IF(NSTonghop!$E48&lt;&gt;0,0,NSTonghop!U48)</f>
        <v>0</v>
      </c>
      <c r="V48" s="128">
        <f>IF(NSTonghop!$E48&lt;&gt;0,0,NSTonghop!V48)</f>
        <v>0</v>
      </c>
      <c r="W48" s="128" t="str">
        <f>IF(NSTonghop!$E48&lt;&gt;0,0,NSTonghop!W48)</f>
        <v>ĐH2/</v>
      </c>
      <c r="X48" s="128" t="str">
        <f>IF(NSTonghop!$E48&lt;&gt;0,0,NSTonghop!X48)</f>
        <v>T.Anh</v>
      </c>
      <c r="Y48" s="128" t="str">
        <f>IF(NSTonghop!$E48&lt;&gt;0,0,NSTonghop!Y48)</f>
        <v>T.Anh</v>
      </c>
      <c r="Z48" s="128">
        <f>IF(NSTonghop!$E48&lt;&gt;0,0,NSTonghop!Z48)</f>
        <v>0</v>
      </c>
      <c r="AA48" s="128">
        <f>IF(NSTonghop!$E48&lt;&gt;0,0,NSTonghop!AA48)</f>
        <v>0</v>
      </c>
      <c r="AB48" s="128" t="str">
        <f>IF(NSTonghop!$E48&lt;&gt;0,0,NSTonghop!AB48)</f>
        <v>A/08/Khá</v>
      </c>
      <c r="AC48" s="128" t="str">
        <f>IF(NSTonghop!$E48&lt;&gt;0,0,NSTonghop!AC48)</f>
        <v>B1/15/TB</v>
      </c>
      <c r="AD48" s="128">
        <f>IF(NSTonghop!$E48&lt;&gt;0,0,NSTonghop!AD48)</f>
        <v>0</v>
      </c>
      <c r="AE48" s="128">
        <f>IF(NSTonghop!$E48&lt;&gt;0,0,NSTonghop!AE48)</f>
        <v>0</v>
      </c>
      <c r="AF48" s="128">
        <f>IF(NSTonghop!$E48&lt;&gt;0,0,NSTonghop!AF48)</f>
        <v>0</v>
      </c>
      <c r="AG48" s="128" t="str">
        <f>IF(NSTonghop!$E48&lt;&gt;0,0,NSTonghop!AG48)</f>
        <v>V.07.04.12</v>
      </c>
      <c r="AH48" s="128">
        <f>IF(NSTonghop!$E48&lt;&gt;0,0,NSTonghop!AH48)</f>
        <v>0</v>
      </c>
      <c r="AI48" s="128">
        <f>IF(NSTonghop!$E48&lt;&gt;0,0,NSTonghop!AI48)</f>
        <v>5096017227</v>
      </c>
      <c r="AJ48" s="128">
        <f>IF(NSTonghop!$E48&lt;&gt;0,0,NSTonghop!AJ48)</f>
        <v>350781936</v>
      </c>
      <c r="AK48" s="128" t="str">
        <f>IF(NSTonghop!$E48&lt;&gt;0,0,NSTonghop!AK48)</f>
        <v>27/07/2006</v>
      </c>
      <c r="AL48" s="128" t="str">
        <f>IF(NSTonghop!$E48&lt;&gt;0,0,NSTonghop!AL48)</f>
        <v>16/02/1990</v>
      </c>
      <c r="AM48" s="128" t="str">
        <f>IF(NSTonghop!$E48&lt;&gt;0,0,NSTonghop!AM48)</f>
        <v>17/09/1993</v>
      </c>
      <c r="AN48" s="128" t="str">
        <f>IF(NSTonghop!$E48&lt;&gt;0,0,NSTonghop!AN48)</f>
        <v>01/03/1992</v>
      </c>
      <c r="AO48" s="128">
        <f>IF(NSTonghop!$E48&lt;&gt;0,0,NSTonghop!AO48)</f>
        <v>0</v>
      </c>
      <c r="AP48" s="128">
        <f>IF(NSTonghop!$E48&lt;&gt;0,0,NSTonghop!AP48)</f>
        <v>0</v>
      </c>
      <c r="AQ48" s="128" t="str">
        <f>IF(NSTonghop!$E48&lt;&gt;0,0,NSTonghop!AQ48)</f>
        <v/>
      </c>
      <c r="AR48" s="128">
        <f>IF(NSTonghop!$E48&lt;&gt;0,0,NSTonghop!AR48)</f>
        <v>0</v>
      </c>
      <c r="AS48" s="128">
        <f>IF(NSTonghop!$E48&lt;&gt;0,0,NSTonghop!AS48)</f>
        <v>0</v>
      </c>
      <c r="AT48" s="128" t="str">
        <f>IF(NSTonghop!$E48&lt;&gt;0,0,NSTonghop!AT48)</f>
        <v>0355646898</v>
      </c>
      <c r="AU48" s="212"/>
    </row>
    <row r="49" spans="1:47" s="118" customFormat="1" x14ac:dyDescent="0.25">
      <c r="A49" s="220"/>
      <c r="B49" s="142" t="str">
        <f>IF(F49&lt;&gt;0,MAX($B$8:B48)+1,"")</f>
        <v/>
      </c>
      <c r="C49" s="143">
        <f>IF(F49=0,0,MAX($C$43:C48)+1)</f>
        <v>0</v>
      </c>
      <c r="D49" s="144">
        <f>IF(NSTonghop!$E49&lt;&gt;0,0,NSTonghop!D49)</f>
        <v>0</v>
      </c>
      <c r="E49" s="142">
        <f>IF(NSTonghop!E49&lt;&gt;0,0,0)</f>
        <v>0</v>
      </c>
      <c r="F49" s="142">
        <f>IF(NSTonghop!$E49&lt;&gt;0,0,NSTonghop!F49)</f>
        <v>0</v>
      </c>
      <c r="G49" s="142">
        <f>IF(NSTonghop!$E49&lt;&gt;0,0,NSTonghop!G49)</f>
        <v>0</v>
      </c>
      <c r="H49" s="142">
        <f>IF(NSTonghop!$E49&lt;&gt;0,0,NSTonghop!H49)</f>
        <v>0</v>
      </c>
      <c r="I49" s="142">
        <f>IF(NSTonghop!$E49&lt;&gt;0,0,NSTonghop!I49)</f>
        <v>0</v>
      </c>
      <c r="J49" s="142">
        <f>IF(NSTonghop!$E49&lt;&gt;0,0,NSTonghop!J49)</f>
        <v>0</v>
      </c>
      <c r="K49" s="142">
        <f>IF(NSTonghop!$E49&lt;&gt;0,0,NSTonghop!K49)</f>
        <v>0</v>
      </c>
      <c r="L49" s="142">
        <f>IF(NSTonghop!$E49&lt;&gt;0,0,NSTonghop!L49)</f>
        <v>0</v>
      </c>
      <c r="M49" s="142">
        <f>IF(NSTonghop!$E49&lt;&gt;0,0,NSTonghop!M49)</f>
        <v>0</v>
      </c>
      <c r="N49" s="142">
        <f>IF(NSTonghop!$E49&lt;&gt;0,0,NSTonghop!N49)</f>
        <v>0</v>
      </c>
      <c r="O49" s="142">
        <f>IF(NSTonghop!$E49&lt;&gt;0,0,NSTonghop!O49)</f>
        <v>0</v>
      </c>
      <c r="P49" s="142">
        <f>IF(NSTonghop!$E49&lt;&gt;0,0,NSTonghop!P49)</f>
        <v>0</v>
      </c>
      <c r="Q49" s="142">
        <f>IF(NSTonghop!$E49&lt;&gt;0,0,NSTonghop!Q49)</f>
        <v>0</v>
      </c>
      <c r="R49" s="142">
        <f>IF(NSTonghop!$E49&lt;&gt;0,0,NSTonghop!R49)</f>
        <v>0</v>
      </c>
      <c r="S49" s="142">
        <f>IF(NSTonghop!$E49&lt;&gt;0,0,NSTonghop!S49)</f>
        <v>0</v>
      </c>
      <c r="T49" s="142">
        <f>IF(NSTonghop!$E49&lt;&gt;0,0,NSTonghop!T49)</f>
        <v>0</v>
      </c>
      <c r="U49" s="142">
        <f>IF(NSTonghop!$E49&lt;&gt;0,0,NSTonghop!U49)</f>
        <v>0</v>
      </c>
      <c r="V49" s="142">
        <f>IF(NSTonghop!$E49&lt;&gt;0,0,NSTonghop!V49)</f>
        <v>0</v>
      </c>
      <c r="W49" s="142">
        <f>IF(NSTonghop!$E49&lt;&gt;0,0,NSTonghop!W49)</f>
        <v>0</v>
      </c>
      <c r="X49" s="142">
        <f>IF(NSTonghop!$E49&lt;&gt;0,0,NSTonghop!X49)</f>
        <v>0</v>
      </c>
      <c r="Y49" s="142">
        <f>IF(NSTonghop!$E49&lt;&gt;0,0,NSTonghop!Y49)</f>
        <v>0</v>
      </c>
      <c r="Z49" s="142">
        <f>IF(NSTonghop!$E49&lt;&gt;0,0,NSTonghop!Z49)</f>
        <v>0</v>
      </c>
      <c r="AA49" s="142">
        <f>IF(NSTonghop!$E49&lt;&gt;0,0,NSTonghop!AA49)</f>
        <v>0</v>
      </c>
      <c r="AB49" s="142">
        <f>IF(NSTonghop!$E49&lt;&gt;0,0,NSTonghop!AB49)</f>
        <v>0</v>
      </c>
      <c r="AC49" s="142">
        <f>IF(NSTonghop!$E49&lt;&gt;0,0,NSTonghop!AC49)</f>
        <v>0</v>
      </c>
      <c r="AD49" s="142">
        <f>IF(NSTonghop!$E49&lt;&gt;0,0,NSTonghop!AD49)</f>
        <v>0</v>
      </c>
      <c r="AE49" s="142">
        <f>IF(NSTonghop!$E49&lt;&gt;0,0,NSTonghop!AE49)</f>
        <v>0</v>
      </c>
      <c r="AF49" s="142">
        <f>IF(NSTonghop!$E49&lt;&gt;0,0,NSTonghop!AF49)</f>
        <v>0</v>
      </c>
      <c r="AG49" s="142">
        <f>IF(NSTonghop!$E49&lt;&gt;0,0,NSTonghop!AG49)</f>
        <v>0</v>
      </c>
      <c r="AH49" s="142">
        <f>IF(NSTonghop!$E49&lt;&gt;0,0,NSTonghop!AH49)</f>
        <v>0</v>
      </c>
      <c r="AI49" s="142">
        <f>IF(NSTonghop!$E49&lt;&gt;0,0,NSTonghop!AI49)</f>
        <v>0</v>
      </c>
      <c r="AJ49" s="142">
        <f>IF(NSTonghop!$E49&lt;&gt;0,0,NSTonghop!AJ49)</f>
        <v>0</v>
      </c>
      <c r="AK49" s="142">
        <f>IF(NSTonghop!$E49&lt;&gt;0,0,NSTonghop!AK49)</f>
        <v>0</v>
      </c>
      <c r="AL49" s="142">
        <f>IF(NSTonghop!$E49&lt;&gt;0,0,NSTonghop!AL49)</f>
        <v>0</v>
      </c>
      <c r="AM49" s="142">
        <f>IF(NSTonghop!$E49&lt;&gt;0,0,NSTonghop!AM49)</f>
        <v>0</v>
      </c>
      <c r="AN49" s="142">
        <f>IF(NSTonghop!$E49&lt;&gt;0,0,NSTonghop!AN49)</f>
        <v>0</v>
      </c>
      <c r="AO49" s="142">
        <f>IF(NSTonghop!$E49&lt;&gt;0,0,NSTonghop!AO49)</f>
        <v>0</v>
      </c>
      <c r="AP49" s="142">
        <f>IF(NSTonghop!$E49&lt;&gt;0,0,NSTonghop!AP49)</f>
        <v>0</v>
      </c>
      <c r="AQ49" s="142">
        <f>IF(NSTonghop!$E49&lt;&gt;0,0,NSTonghop!AQ49)</f>
        <v>0</v>
      </c>
      <c r="AR49" s="142">
        <f>IF(NSTonghop!$E49&lt;&gt;0,0,NSTonghop!AR49)</f>
        <v>0</v>
      </c>
      <c r="AS49" s="142">
        <f>IF(NSTonghop!$E49&lt;&gt;0,0,NSTonghop!AS49)</f>
        <v>0</v>
      </c>
      <c r="AT49" s="142">
        <f>IF(NSTonghop!$E49&lt;&gt;0,0,NSTonghop!AT49)</f>
        <v>0</v>
      </c>
      <c r="AU49" s="212"/>
    </row>
    <row r="50" spans="1:47" x14ac:dyDescent="0.25">
      <c r="A50" s="220"/>
      <c r="B50" s="151">
        <f>IF(F50&lt;&gt;0,MAX($B$8:B49)+1,"")</f>
        <v>37</v>
      </c>
      <c r="C50" s="152">
        <f>IF(F50=0,0,1)</f>
        <v>1</v>
      </c>
      <c r="D50" s="441">
        <f>IF(NSTonghop!$E50&lt;&gt;0,0,NSTonghop!D50)</f>
        <v>18763</v>
      </c>
      <c r="E50" s="151">
        <f>IF(NSTonghop!E50&lt;&gt;0,0,0)</f>
        <v>0</v>
      </c>
      <c r="F50" s="151" t="str">
        <f>IF(NSTonghop!$E50&lt;&gt;0,0,NSTonghop!F50)</f>
        <v>Lê Thị Bích Ngọc</v>
      </c>
      <c r="G50" s="151" t="str">
        <f>IF(NSTonghop!$E50&lt;&gt;0,0,NSTonghop!G50)</f>
        <v>x</v>
      </c>
      <c r="H50" s="151">
        <f>IF(NSTonghop!$E50&lt;&gt;0,0,NSTonghop!H50)</f>
        <v>0</v>
      </c>
      <c r="I50" s="151" t="str">
        <f>IF(NSTonghop!$E50&lt;&gt;0,0,NSTonghop!I50)</f>
        <v>08/10/1979</v>
      </c>
      <c r="J50" s="151">
        <f>IF(NSTonghop!$E50&lt;&gt;0,0,NSTonghop!J50)</f>
        <v>0</v>
      </c>
      <c r="K50" s="151">
        <f>IF(NSTonghop!$E50&lt;&gt;0,0,NSTonghop!K50)</f>
        <v>1979</v>
      </c>
      <c r="L50" s="151" t="str">
        <f>IF(NSTonghop!$E50&lt;&gt;0,0,NSTonghop!L50)</f>
        <v>GV</v>
      </c>
      <c r="M50" s="151">
        <f>IF(NSTonghop!$E50&lt;&gt;0,0,NSTonghop!M50)</f>
        <v>0</v>
      </c>
      <c r="N50" s="151" t="str">
        <f>IF(NSTonghop!$E50&lt;&gt;0,0,NSTonghop!N50)</f>
        <v>Phật</v>
      </c>
      <c r="O50" s="151" t="str">
        <f>IF(NSTonghop!$E50&lt;&gt;0,0,NSTonghop!O50)</f>
        <v>Nông dân</v>
      </c>
      <c r="P50" s="151" t="str">
        <f>IF(NSTonghop!$E50&lt;&gt;0,0,NSTonghop!P50)</f>
        <v>Cái Dầu-AG</v>
      </c>
      <c r="Q50" s="151" t="str">
        <f>IF(NSTonghop!$E50&lt;&gt;0,0,NSTonghop!Q50)</f>
        <v>Cái Dầu-Châu Phú-AG</v>
      </c>
      <c r="R50" s="151" t="str">
        <f>IF(NSTonghop!$E50&lt;&gt;0,0,NSTonghop!R50)</f>
        <v>Vĩnh Phúc, Cái Dầu</v>
      </c>
      <c r="S50" s="151" t="str">
        <f>IF(NSTonghop!$E50&lt;&gt;0,0,NSTonghop!S50)</f>
        <v>PTTH/98/TB</v>
      </c>
      <c r="T50" s="151" t="str">
        <f>IF(NSTonghop!$E50&lt;&gt;0,0,NSTonghop!T50)</f>
        <v>CĐ3/Toán-Tin/01/TB</v>
      </c>
      <c r="U50" s="151" t="str">
        <f>IF(NSTonghop!$E50&lt;&gt;0,0,NSTonghop!U50)</f>
        <v>ĐHTX/Toán/07/Khá</v>
      </c>
      <c r="V50" s="151">
        <f>IF(NSTonghop!$E50&lt;&gt;0,0,NSTonghop!V50)</f>
        <v>0</v>
      </c>
      <c r="W50" s="151" t="str">
        <f>IF(NSTonghop!$E50&lt;&gt;0,0,NSTonghop!W50)</f>
        <v>ĐHTX</v>
      </c>
      <c r="X50" s="151" t="str">
        <f>IF(NSTonghop!$E50&lt;&gt;0,0,NSTonghop!X50)</f>
        <v>Toán</v>
      </c>
      <c r="Y50" s="151" t="str">
        <f>IF(NSTonghop!$E50&lt;&gt;0,0,NSTonghop!Y50)</f>
        <v>Toán</v>
      </c>
      <c r="Z50" s="151">
        <f>IF(NSTonghop!$E50&lt;&gt;0,0,NSTonghop!Z50)</f>
        <v>0</v>
      </c>
      <c r="AA50" s="151" t="str">
        <f>IF(NSTonghop!$E50&lt;&gt;0,0,NSTonghop!AA50)</f>
        <v>SC/14</v>
      </c>
      <c r="AB50" s="151" t="str">
        <f>IF(NSTonghop!$E50&lt;&gt;0,0,NSTonghop!AB50)</f>
        <v>A/00/Khá</v>
      </c>
      <c r="AC50" s="151" t="str">
        <f>IF(NSTonghop!$E50&lt;&gt;0,0,NSTonghop!AC50)</f>
        <v>A/Anh/06/TB</v>
      </c>
      <c r="AD50" s="151">
        <f>IF(NSTonghop!$E50&lt;&gt;0,0,NSTonghop!AD50)</f>
        <v>0</v>
      </c>
      <c r="AE50" s="151">
        <f>IF(NSTonghop!$E50&lt;&gt;0,0,NSTonghop!AE50)</f>
        <v>0</v>
      </c>
      <c r="AF50" s="151">
        <f>IF(NSTonghop!$E50&lt;&gt;0,0,NSTonghop!AF50)</f>
        <v>0</v>
      </c>
      <c r="AG50" s="151" t="str">
        <f>IF(NSTonghop!$E50&lt;&gt;0,0,NSTonghop!AG50)</f>
        <v>V.07.04.11</v>
      </c>
      <c r="AH50" s="151" t="str">
        <f>IF(NSTonghop!$E50&lt;&gt;0,0,NSTonghop!AH50)</f>
        <v>CN/07/Khá</v>
      </c>
      <c r="AI50" s="151">
        <f>IF(NSTonghop!$E50&lt;&gt;0,0,NSTonghop!AI50)</f>
        <v>5002000917</v>
      </c>
      <c r="AJ50" s="151">
        <f>IF(NSTonghop!$E50&lt;&gt;0,0,NSTonghop!AJ50)</f>
        <v>351310081</v>
      </c>
      <c r="AK50" s="151" t="str">
        <f>IF(NSTonghop!$E50&lt;&gt;0,0,NSTonghop!AK50)</f>
        <v>28/05/2007</v>
      </c>
      <c r="AL50" s="151" t="str">
        <f>IF(NSTonghop!$E50&lt;&gt;0,0,NSTonghop!AL50)</f>
        <v>01/09/2001</v>
      </c>
      <c r="AM50" s="151" t="str">
        <f>IF(NSTonghop!$E50&lt;&gt;0,0,NSTonghop!AM50)</f>
        <v>21/09/2004</v>
      </c>
      <c r="AN50" s="151" t="str">
        <f>IF(NSTonghop!$E50&lt;&gt;0,0,NSTonghop!AN50)</f>
        <v>01/03/2002</v>
      </c>
      <c r="AO50" s="151" t="str">
        <f>IF(NSTonghop!$E50&lt;&gt;0,0,NSTonghop!AO50)</f>
        <v>22/11/2008</v>
      </c>
      <c r="AP50" s="151" t="str">
        <f>IF(NSTonghop!$E50&lt;&gt;0,0,NSTonghop!AP50)</f>
        <v>31.038 079</v>
      </c>
      <c r="AQ50" s="151">
        <f>IF(NSTonghop!$E50&lt;&gt;0,0,NSTonghop!AQ50)</f>
        <v>2008</v>
      </c>
      <c r="AR50" s="151">
        <f>IF(NSTonghop!$E50&lt;&gt;0,0,NSTonghop!AR50)</f>
        <v>0</v>
      </c>
      <c r="AS50" s="151">
        <f>IF(NSTonghop!$E50&lt;&gt;0,0,NSTonghop!AS50)</f>
        <v>0</v>
      </c>
      <c r="AT50" s="151" t="str">
        <f>IF(NSTonghop!$E50&lt;&gt;0,0,NSTonghop!AT50)</f>
        <v>0918469017</v>
      </c>
      <c r="AU50" s="212"/>
    </row>
    <row r="51" spans="1:47" x14ac:dyDescent="0.25">
      <c r="A51" s="220"/>
      <c r="B51" s="162">
        <f>IF(F51&lt;&gt;0,MAX($B$8:B50)+1,"")</f>
        <v>38</v>
      </c>
      <c r="C51" s="163">
        <f>IF(F51=0,0,MAX($C$50:C50)+1)</f>
        <v>2</v>
      </c>
      <c r="D51" s="441">
        <f>IF(NSTonghop!$E51&lt;&gt;0,0,NSTonghop!D51)</f>
        <v>21549</v>
      </c>
      <c r="E51" s="162">
        <f>IF(NSTonghop!E51&lt;&gt;0,0,0)</f>
        <v>0</v>
      </c>
      <c r="F51" s="162" t="str">
        <f>IF(NSTonghop!$E51&lt;&gt;0,0,NSTonghop!F51)</f>
        <v>Nguyễn Thị Thùy Linh</v>
      </c>
      <c r="G51" s="162" t="str">
        <f>IF(NSTonghop!$E51&lt;&gt;0,0,NSTonghop!G51)</f>
        <v>x</v>
      </c>
      <c r="H51" s="162">
        <f>IF(NSTonghop!$E51&lt;&gt;0,0,NSTonghop!H51)</f>
        <v>0</v>
      </c>
      <c r="I51" s="162" t="str">
        <f>IF(NSTonghop!$E51&lt;&gt;0,0,NSTonghop!I51)</f>
        <v>14/07/1980</v>
      </c>
      <c r="J51" s="162">
        <f>IF(NSTonghop!$E51&lt;&gt;0,0,NSTonghop!J51)</f>
        <v>0</v>
      </c>
      <c r="K51" s="162">
        <f>IF(NSTonghop!$E51&lt;&gt;0,0,NSTonghop!K51)</f>
        <v>1980</v>
      </c>
      <c r="L51" s="162" t="str">
        <f>IF(NSTonghop!$E51&lt;&gt;0,0,NSTonghop!L51)</f>
        <v>GV</v>
      </c>
      <c r="M51" s="162">
        <f>IF(NSTonghop!$E51&lt;&gt;0,0,NSTonghop!M51)</f>
        <v>0</v>
      </c>
      <c r="N51" s="162" t="str">
        <f>IF(NSTonghop!$E51&lt;&gt;0,0,NSTonghop!N51)</f>
        <v>Phật</v>
      </c>
      <c r="O51" s="162" t="str">
        <f>IF(NSTonghop!$E51&lt;&gt;0,0,NSTonghop!O51)</f>
        <v>Nông dân</v>
      </c>
      <c r="P51" s="162" t="str">
        <f>IF(NSTonghop!$E51&lt;&gt;0,0,NSTonghop!P51)</f>
        <v>Bình Long-An Giang</v>
      </c>
      <c r="Q51" s="162" t="str">
        <f>IF(NSTonghop!$E51&lt;&gt;0,0,NSTonghop!Q51)</f>
        <v>Bình Long-Châu Phú</v>
      </c>
      <c r="R51" s="162" t="str">
        <f>IF(NSTonghop!$E51&lt;&gt;0,0,NSTonghop!R51)</f>
        <v>211/11 Chánh Hưng-Bình Long</v>
      </c>
      <c r="S51" s="162" t="str">
        <f>IF(NSTonghop!$E51&lt;&gt;0,0,NSTonghop!S51)</f>
        <v>PTTH/98/Khá</v>
      </c>
      <c r="T51" s="162" t="str">
        <f>IF(NSTonghop!$E51&lt;&gt;0,0,NSTonghop!T51)</f>
        <v>CĐ3/Toán-Tin/02/TBK</v>
      </c>
      <c r="U51" s="162" t="str">
        <f>IF(NSTonghop!$E51&lt;&gt;0,0,NSTonghop!U51)</f>
        <v>ĐHTX/Toán/07/Khá</v>
      </c>
      <c r="V51" s="162">
        <f>IF(NSTonghop!$E51&lt;&gt;0,0,NSTonghop!V51)</f>
        <v>0</v>
      </c>
      <c r="W51" s="162" t="str">
        <f>IF(NSTonghop!$E51&lt;&gt;0,0,NSTonghop!W51)</f>
        <v>ĐHTX</v>
      </c>
      <c r="X51" s="162" t="str">
        <f>IF(NSTonghop!$E51&lt;&gt;0,0,NSTonghop!X51)</f>
        <v>Toán</v>
      </c>
      <c r="Y51" s="162" t="str">
        <f>IF(NSTonghop!$E51&lt;&gt;0,0,NSTonghop!Y51)</f>
        <v>Toán</v>
      </c>
      <c r="Z51" s="162">
        <f>IF(NSTonghop!$E51&lt;&gt;0,0,NSTonghop!Z51)</f>
        <v>0</v>
      </c>
      <c r="AA51" s="162">
        <f>IF(NSTonghop!$E51&lt;&gt;0,0,NSTonghop!AA51)</f>
        <v>0</v>
      </c>
      <c r="AB51" s="162" t="str">
        <f>IF(NSTonghop!$E51&lt;&gt;0,0,NSTonghop!AB51)</f>
        <v>A/08/Giỏi</v>
      </c>
      <c r="AC51" s="162">
        <f>IF(NSTonghop!$E51&lt;&gt;0,0,NSTonghop!AC51)</f>
        <v>0</v>
      </c>
      <c r="AD51" s="162">
        <f>IF(NSTonghop!$E51&lt;&gt;0,0,NSTonghop!AD51)</f>
        <v>0</v>
      </c>
      <c r="AE51" s="162">
        <f>IF(NSTonghop!$E51&lt;&gt;0,0,NSTonghop!AE51)</f>
        <v>0</v>
      </c>
      <c r="AF51" s="162">
        <f>IF(NSTonghop!$E51&lt;&gt;0,0,NSTonghop!AF51)</f>
        <v>0</v>
      </c>
      <c r="AG51" s="162" t="str">
        <f>IF(NSTonghop!$E51&lt;&gt;0,0,NSTonghop!AG51)</f>
        <v>V.07.04.11</v>
      </c>
      <c r="AH51" s="162" t="str">
        <f>IF(NSTonghop!$E51&lt;&gt;0,0,NSTonghop!AH51)</f>
        <v>CN/07/Khá</v>
      </c>
      <c r="AI51" s="162">
        <f>IF(NSTonghop!$E51&lt;&gt;0,0,NSTonghop!AI51)</f>
        <v>5003000447</v>
      </c>
      <c r="AJ51" s="162">
        <f>IF(NSTonghop!$E51&lt;&gt;0,0,NSTonghop!AJ51)</f>
        <v>351318295</v>
      </c>
      <c r="AK51" s="162" t="str">
        <f>IF(NSTonghop!$E51&lt;&gt;0,0,NSTonghop!AK51)</f>
        <v>04/07/2011</v>
      </c>
      <c r="AL51" s="162" t="str">
        <f>IF(NSTonghop!$E51&lt;&gt;0,0,NSTonghop!AL51)</f>
        <v>01/09/2002</v>
      </c>
      <c r="AM51" s="162" t="str">
        <f>IF(NSTonghop!$E51&lt;&gt;0,0,NSTonghop!AM51)</f>
        <v>28/08/2006</v>
      </c>
      <c r="AN51" s="162" t="str">
        <f>IF(NSTonghop!$E51&lt;&gt;0,0,NSTonghop!AN51)</f>
        <v>01/03/2003</v>
      </c>
      <c r="AO51" s="162">
        <f>IF(NSTonghop!$E51&lt;&gt;0,0,NSTonghop!AO51)</f>
        <v>0</v>
      </c>
      <c r="AP51" s="162">
        <f>IF(NSTonghop!$E51&lt;&gt;0,0,NSTonghop!AP51)</f>
        <v>0</v>
      </c>
      <c r="AQ51" s="162" t="str">
        <f>IF(NSTonghop!$E51&lt;&gt;0,0,NSTonghop!AQ51)</f>
        <v/>
      </c>
      <c r="AR51" s="162">
        <f>IF(NSTonghop!$E51&lt;&gt;0,0,NSTonghop!AR51)</f>
        <v>0</v>
      </c>
      <c r="AS51" s="162">
        <f>IF(NSTonghop!$E51&lt;&gt;0,0,NSTonghop!AS51)</f>
        <v>0</v>
      </c>
      <c r="AT51" s="162">
        <f>IF(NSTonghop!$E51&lt;&gt;0,0,NSTonghop!AT51)</f>
        <v>907824260</v>
      </c>
      <c r="AU51" s="212"/>
    </row>
    <row r="52" spans="1:47" x14ac:dyDescent="0.25">
      <c r="A52" s="220"/>
      <c r="B52" s="162">
        <f>IF(F52&lt;&gt;0,MAX($B$8:B51)+1,"")</f>
        <v>39</v>
      </c>
      <c r="C52" s="163">
        <f>IF(F52=0,0,MAX($C$50:C51)+1)</f>
        <v>3</v>
      </c>
      <c r="D52" s="441" t="str">
        <f>IF(NSTonghop!$E52&lt;&gt;0,0,NSTonghop!D52)</f>
        <v>x</v>
      </c>
      <c r="E52" s="162">
        <f>IF(NSTonghop!E52&lt;&gt;0,0,0)</f>
        <v>0</v>
      </c>
      <c r="F52" s="162" t="str">
        <f>IF(NSTonghop!$E52&lt;&gt;0,0,NSTonghop!F52)</f>
        <v>Trịnh Xuân Văn</v>
      </c>
      <c r="G52" s="162">
        <f>IF(NSTonghop!$E52&lt;&gt;0,0,NSTonghop!G52)</f>
        <v>0</v>
      </c>
      <c r="H52" s="162" t="str">
        <f>IF(NSTonghop!$E52&lt;&gt;0,0,NSTonghop!H52)</f>
        <v>27/12/1984</v>
      </c>
      <c r="I52" s="162">
        <f>IF(NSTonghop!$E52&lt;&gt;0,0,NSTonghop!I52)</f>
        <v>0</v>
      </c>
      <c r="J52" s="162">
        <f>IF(NSTonghop!$E52&lt;&gt;0,0,NSTonghop!J52)</f>
        <v>1984</v>
      </c>
      <c r="K52" s="162">
        <f>IF(NSTonghop!$E52&lt;&gt;0,0,NSTonghop!K52)</f>
        <v>0</v>
      </c>
      <c r="L52" s="162" t="str">
        <f>IF(NSTonghop!$E52&lt;&gt;0,0,NSTonghop!L52)</f>
        <v>GV</v>
      </c>
      <c r="M52" s="162">
        <f>IF(NSTonghop!$E52&lt;&gt;0,0,NSTonghop!M52)</f>
        <v>0</v>
      </c>
      <c r="N52" s="162" t="str">
        <f>IF(NSTonghop!$E52&lt;&gt;0,0,NSTonghop!N52)</f>
        <v>x</v>
      </c>
      <c r="O52" s="162" t="str">
        <f>IF(NSTonghop!$E52&lt;&gt;0,0,NSTonghop!O52)</f>
        <v>Bần nông</v>
      </c>
      <c r="P52" s="162" t="str">
        <f>IF(NSTonghop!$E52&lt;&gt;0,0,NSTonghop!P52)</f>
        <v>Yên Phong-Thanh Hóa</v>
      </c>
      <c r="Q52" s="162" t="str">
        <f>IF(NSTonghop!$E52&lt;&gt;0,0,NSTonghop!Q52)</f>
        <v>Yên Phong-Yên Định-Thanh Hóa</v>
      </c>
      <c r="R52" s="162" t="str">
        <f>IF(NSTonghop!$E52&lt;&gt;0,0,NSTonghop!R52)</f>
        <v>17 Vĩnh Hưng-VTT</v>
      </c>
      <c r="S52" s="162" t="str">
        <f>IF(NSTonghop!$E52&lt;&gt;0,0,NSTonghop!S52)</f>
        <v>PTTH/02/TB</v>
      </c>
      <c r="T52" s="162" t="str">
        <f>IF(NSTonghop!$E52&lt;&gt;0,0,NSTonghop!T52)</f>
        <v>ĐHCQ/Toán/07/TBK</v>
      </c>
      <c r="U52" s="162">
        <f>IF(NSTonghop!$E52&lt;&gt;0,0,NSTonghop!U52)</f>
        <v>0</v>
      </c>
      <c r="V52" s="162">
        <f>IF(NSTonghop!$E52&lt;&gt;0,0,NSTonghop!V52)</f>
        <v>0</v>
      </c>
      <c r="W52" s="162" t="str">
        <f>IF(NSTonghop!$E52&lt;&gt;0,0,NSTonghop!W52)</f>
        <v>ĐHCQ</v>
      </c>
      <c r="X52" s="162" t="str">
        <f>IF(NSTonghop!$E52&lt;&gt;0,0,NSTonghop!X52)</f>
        <v>Toán</v>
      </c>
      <c r="Y52" s="162" t="str">
        <f>IF(NSTonghop!$E52&lt;&gt;0,0,NSTonghop!Y52)</f>
        <v>Toán</v>
      </c>
      <c r="Z52" s="162">
        <f>IF(NSTonghop!$E52&lt;&gt;0,0,NSTonghop!Z52)</f>
        <v>0</v>
      </c>
      <c r="AA52" s="162" t="str">
        <f>IF(NSTonghop!$E52&lt;&gt;0,0,NSTonghop!AA52)</f>
        <v>SC/18</v>
      </c>
      <c r="AB52" s="162" t="str">
        <f>IF(NSTonghop!$E52&lt;&gt;0,0,NSTonghop!AB52)</f>
        <v>A/08/TB</v>
      </c>
      <c r="AC52" s="162" t="str">
        <f>IF(NSTonghop!$E52&lt;&gt;0,0,NSTonghop!AC52)</f>
        <v>B/Anh/08/TB</v>
      </c>
      <c r="AD52" s="162">
        <f>IF(NSTonghop!$E52&lt;&gt;0,0,NSTonghop!AD52)</f>
        <v>0</v>
      </c>
      <c r="AE52" s="162">
        <f>IF(NSTonghop!$E52&lt;&gt;0,0,NSTonghop!AE52)</f>
        <v>0</v>
      </c>
      <c r="AF52" s="162">
        <f>IF(NSTonghop!$E52&lt;&gt;0,0,NSTonghop!AF52)</f>
        <v>0</v>
      </c>
      <c r="AG52" s="162" t="str">
        <f>IF(NSTonghop!$E52&lt;&gt;0,0,NSTonghop!AG52)</f>
        <v>V.07.04.11</v>
      </c>
      <c r="AH52" s="162" t="str">
        <f>IF(NSTonghop!$E52&lt;&gt;0,0,NSTonghop!AH52)</f>
        <v>CN/15/Khá</v>
      </c>
      <c r="AI52" s="162">
        <f>IF(NSTonghop!$E52&lt;&gt;0,0,NSTonghop!AI52)</f>
        <v>8908006815</v>
      </c>
      <c r="AJ52" s="162">
        <f>IF(NSTonghop!$E52&lt;&gt;0,0,NSTonghop!AJ52)</f>
        <v>352091352</v>
      </c>
      <c r="AK52" s="162" t="str">
        <f>IF(NSTonghop!$E52&lt;&gt;0,0,NSTonghop!AK52)</f>
        <v>24/05/2013</v>
      </c>
      <c r="AL52" s="162" t="str">
        <f>IF(NSTonghop!$E52&lt;&gt;0,0,NSTonghop!AL52)</f>
        <v>01/09/2007</v>
      </c>
      <c r="AM52" s="162" t="str">
        <f>IF(NSTonghop!$E52&lt;&gt;0,0,NSTonghop!AM52)</f>
        <v>01/09/2007</v>
      </c>
      <c r="AN52" s="162" t="str">
        <f>IF(NSTonghop!$E52&lt;&gt;0,0,NSTonghop!AN52)</f>
        <v>01/09/2008</v>
      </c>
      <c r="AO52" s="162" t="str">
        <f>IF(NSTonghop!$E52&lt;&gt;0,0,NSTonghop!AO52)</f>
        <v>24/08/2013</v>
      </c>
      <c r="AP52" s="162" t="str">
        <f>IF(NSTonghop!$E52&lt;&gt;0,0,NSTonghop!AP52)</f>
        <v>31.054 651</v>
      </c>
      <c r="AQ52" s="162">
        <f>IF(NSTonghop!$E52&lt;&gt;0,0,NSTonghop!AQ52)</f>
        <v>2013</v>
      </c>
      <c r="AR52" s="162">
        <f>IF(NSTonghop!$E52&lt;&gt;0,0,NSTonghop!AR52)</f>
        <v>0</v>
      </c>
      <c r="AS52" s="162">
        <f>IF(NSTonghop!$E52&lt;&gt;0,0,NSTonghop!AS52)</f>
        <v>0</v>
      </c>
      <c r="AT52" s="162" t="str">
        <f>IF(NSTonghop!$E52&lt;&gt;0,0,NSTonghop!AT52)</f>
        <v>0962187567</v>
      </c>
      <c r="AU52" s="212"/>
    </row>
    <row r="53" spans="1:47" x14ac:dyDescent="0.25">
      <c r="A53" s="220"/>
      <c r="B53" s="162">
        <f>IF(F53&lt;&gt;0,MAX($B$8:B52)+1,"")</f>
        <v>40</v>
      </c>
      <c r="C53" s="163">
        <f>IF(F53=0,0,MAX($C$50:C52)+1)</f>
        <v>4</v>
      </c>
      <c r="D53" s="441">
        <f>IF(NSTonghop!$E53&lt;&gt;0,0,NSTonghop!D53)</f>
        <v>1230</v>
      </c>
      <c r="E53" s="162">
        <f>IF(NSTonghop!E53&lt;&gt;0,0,0)</f>
        <v>0</v>
      </c>
      <c r="F53" s="162" t="str">
        <f>IF(NSTonghop!$E53&lt;&gt;0,0,NSTonghop!F53)</f>
        <v>Trần Thị Mành</v>
      </c>
      <c r="G53" s="162" t="str">
        <f>IF(NSTonghop!$E53&lt;&gt;0,0,NSTonghop!G53)</f>
        <v>x</v>
      </c>
      <c r="H53" s="162">
        <f>IF(NSTonghop!$E53&lt;&gt;0,0,NSTonghop!H53)</f>
        <v>0</v>
      </c>
      <c r="I53" s="162" t="str">
        <f>IF(NSTonghop!$E53&lt;&gt;0,0,NSTonghop!I53)</f>
        <v>24/07/1969</v>
      </c>
      <c r="J53" s="162">
        <f>IF(NSTonghop!$E53&lt;&gt;0,0,NSTonghop!J53)</f>
        <v>0</v>
      </c>
      <c r="K53" s="162">
        <f>IF(NSTonghop!$E53&lt;&gt;0,0,NSTonghop!K53)</f>
        <v>1969</v>
      </c>
      <c r="L53" s="162" t="str">
        <f>IF(NSTonghop!$E53&lt;&gt;0,0,NSTonghop!L53)</f>
        <v>GV</v>
      </c>
      <c r="M53" s="162">
        <f>IF(NSTonghop!$E53&lt;&gt;0,0,NSTonghop!M53)</f>
        <v>0</v>
      </c>
      <c r="N53" s="162" t="str">
        <f>IF(NSTonghop!$E53&lt;&gt;0,0,NSTonghop!N53)</f>
        <v>x</v>
      </c>
      <c r="O53" s="162" t="str">
        <f>IF(NSTonghop!$E53&lt;&gt;0,0,NSTonghop!O53)</f>
        <v>Nông dân</v>
      </c>
      <c r="P53" s="162" t="str">
        <f>IF(NSTonghop!$E53&lt;&gt;0,0,NSTonghop!P53)</f>
        <v>Vĩnh Thạnh Trung-AG</v>
      </c>
      <c r="Q53" s="162" t="str">
        <f>IF(NSTonghop!$E53&lt;&gt;0,0,NSTonghop!Q53)</f>
        <v>Vĩnh Thạnh Trung-Châu Phú</v>
      </c>
      <c r="R53" s="162" t="str">
        <f>IF(NSTonghop!$E53&lt;&gt;0,0,NSTonghop!R53)</f>
        <v>503/20 Vĩnh Quới-VTT</v>
      </c>
      <c r="S53" s="162" t="str">
        <f>IF(NSTonghop!$E53&lt;&gt;0,0,NSTonghop!S53)</f>
        <v>PTTH/86/TB</v>
      </c>
      <c r="T53" s="162" t="str">
        <f>IF(NSTonghop!$E53&lt;&gt;0,0,NSTonghop!T53)</f>
        <v>CĐ3/Toán-KTCN/89/TB</v>
      </c>
      <c r="U53" s="162" t="str">
        <f>IF(NSTonghop!$E53&lt;&gt;0,0,NSTonghop!U53)</f>
        <v>ĐHTX/Toán/04/TBK</v>
      </c>
      <c r="V53" s="162">
        <f>IF(NSTonghop!$E53&lt;&gt;0,0,NSTonghop!V53)</f>
        <v>0</v>
      </c>
      <c r="W53" s="162" t="str">
        <f>IF(NSTonghop!$E53&lt;&gt;0,0,NSTonghop!W53)</f>
        <v>ĐHTX</v>
      </c>
      <c r="X53" s="162" t="str">
        <f>IF(NSTonghop!$E53&lt;&gt;0,0,NSTonghop!X53)</f>
        <v>Toán</v>
      </c>
      <c r="Y53" s="162" t="str">
        <f>IF(NSTonghop!$E53&lt;&gt;0,0,NSTonghop!Y53)</f>
        <v>Toán</v>
      </c>
      <c r="Z53" s="162">
        <f>IF(NSTonghop!$E53&lt;&gt;0,0,NSTonghop!Z53)</f>
        <v>0</v>
      </c>
      <c r="AA53" s="162">
        <f>IF(NSTonghop!$E53&lt;&gt;0,0,NSTonghop!AA53)</f>
        <v>0</v>
      </c>
      <c r="AB53" s="162">
        <f>IF(NSTonghop!$E53&lt;&gt;0,0,NSTonghop!AB53)</f>
        <v>0</v>
      </c>
      <c r="AC53" s="162">
        <f>IF(NSTonghop!$E53&lt;&gt;0,0,NSTonghop!AC53)</f>
        <v>0</v>
      </c>
      <c r="AD53" s="162">
        <f>IF(NSTonghop!$E53&lt;&gt;0,0,NSTonghop!AD53)</f>
        <v>0</v>
      </c>
      <c r="AE53" s="162">
        <f>IF(NSTonghop!$E53&lt;&gt;0,0,NSTonghop!AE53)</f>
        <v>0</v>
      </c>
      <c r="AF53" s="162">
        <f>IF(NSTonghop!$E53&lt;&gt;0,0,NSTonghop!AF53)</f>
        <v>0</v>
      </c>
      <c r="AG53" s="162" t="str">
        <f>IF(NSTonghop!$E53&lt;&gt;0,0,NSTonghop!AG53)</f>
        <v>V.07.04.11</v>
      </c>
      <c r="AH53" s="162">
        <f>IF(NSTonghop!$E53&lt;&gt;0,0,NSTonghop!AH53)</f>
        <v>0</v>
      </c>
      <c r="AI53" s="162">
        <f>IF(NSTonghop!$E53&lt;&gt;0,0,NSTonghop!AI53)</f>
        <v>5096017216</v>
      </c>
      <c r="AJ53" s="162">
        <f>IF(NSTonghop!$E53&lt;&gt;0,0,NSTonghop!AJ53)</f>
        <v>350828367</v>
      </c>
      <c r="AK53" s="162" t="str">
        <f>IF(NSTonghop!$E53&lt;&gt;0,0,NSTonghop!AK53)</f>
        <v>15/03/2013</v>
      </c>
      <c r="AL53" s="162" t="str">
        <f>IF(NSTonghop!$E53&lt;&gt;0,0,NSTonghop!AL53)</f>
        <v>15/10/1989</v>
      </c>
      <c r="AM53" s="162" t="str">
        <f>IF(NSTonghop!$E53&lt;&gt;0,0,NSTonghop!AM53)</f>
        <v>01/09/1995</v>
      </c>
      <c r="AN53" s="162" t="str">
        <f>IF(NSTonghop!$E53&lt;&gt;0,0,NSTonghop!AN53)</f>
        <v>15/10/1991</v>
      </c>
      <c r="AO53" s="162">
        <f>IF(NSTonghop!$E53&lt;&gt;0,0,NSTonghop!AO53)</f>
        <v>0</v>
      </c>
      <c r="AP53" s="162">
        <f>IF(NSTonghop!$E53&lt;&gt;0,0,NSTonghop!AP53)</f>
        <v>0</v>
      </c>
      <c r="AQ53" s="162" t="str">
        <f>IF(NSTonghop!$E53&lt;&gt;0,0,NSTonghop!AQ53)</f>
        <v/>
      </c>
      <c r="AR53" s="162">
        <f>IF(NSTonghop!$E53&lt;&gt;0,0,NSTonghop!AR53)</f>
        <v>0</v>
      </c>
      <c r="AS53" s="162">
        <f>IF(NSTonghop!$E53&lt;&gt;0,0,NSTonghop!AS53)</f>
        <v>0</v>
      </c>
      <c r="AT53" s="162" t="str">
        <f>IF(NSTonghop!$E53&lt;&gt;0,0,NSTonghop!AT53)</f>
        <v>0916433239</v>
      </c>
      <c r="AU53" s="212"/>
    </row>
    <row r="54" spans="1:47" x14ac:dyDescent="0.25">
      <c r="A54" s="220"/>
      <c r="B54" s="162">
        <f>IF(F54&lt;&gt;0,MAX($B$8:B53)+1,"")</f>
        <v>41</v>
      </c>
      <c r="C54" s="163">
        <f>IF(F54=0,0,MAX($C$50:C53)+1)</f>
        <v>5</v>
      </c>
      <c r="D54" s="441">
        <f>IF(NSTonghop!$E54&lt;&gt;0,0,NSTonghop!D54)</f>
        <v>1225</v>
      </c>
      <c r="E54" s="162">
        <f>IF(NSTonghop!E54&lt;&gt;0,0,0)</f>
        <v>0</v>
      </c>
      <c r="F54" s="162" t="str">
        <f>IF(NSTonghop!$E54&lt;&gt;0,0,NSTonghop!F54)</f>
        <v>Cao Thị Uyên Thanh</v>
      </c>
      <c r="G54" s="162" t="str">
        <f>IF(NSTonghop!$E54&lt;&gt;0,0,NSTonghop!G54)</f>
        <v>x</v>
      </c>
      <c r="H54" s="162">
        <f>IF(NSTonghop!$E54&lt;&gt;0,0,NSTonghop!H54)</f>
        <v>0</v>
      </c>
      <c r="I54" s="162" t="str">
        <f>IF(NSTonghop!$E54&lt;&gt;0,0,NSTonghop!I54)</f>
        <v>10/03/1969</v>
      </c>
      <c r="J54" s="162">
        <f>IF(NSTonghop!$E54&lt;&gt;0,0,NSTonghop!J54)</f>
        <v>0</v>
      </c>
      <c r="K54" s="162">
        <f>IF(NSTonghop!$E54&lt;&gt;0,0,NSTonghop!K54)</f>
        <v>1969</v>
      </c>
      <c r="L54" s="162" t="str">
        <f>IF(NSTonghop!$E54&lt;&gt;0,0,NSTonghop!L54)</f>
        <v>GV</v>
      </c>
      <c r="M54" s="162">
        <f>IF(NSTonghop!$E54&lt;&gt;0,0,NSTonghop!M54)</f>
        <v>0</v>
      </c>
      <c r="N54" s="162" t="str">
        <f>IF(NSTonghop!$E54&lt;&gt;0,0,NSTonghop!N54)</f>
        <v>x</v>
      </c>
      <c r="O54" s="162" t="str">
        <f>IF(NSTonghop!$E54&lt;&gt;0,0,NSTonghop!O54)</f>
        <v>Trí thức</v>
      </c>
      <c r="P54" s="162" t="str">
        <f>IF(NSTonghop!$E54&lt;&gt;0,0,NSTonghop!P54)</f>
        <v>Núi Sập-An Giang</v>
      </c>
      <c r="Q54" s="162" t="str">
        <f>IF(NSTonghop!$E54&lt;&gt;0,0,NSTonghop!Q54)</f>
        <v>TT Núi Sập-Thoại Sơn</v>
      </c>
      <c r="R54" s="162" t="str">
        <f>IF(NSTonghop!$E54&lt;&gt;0,0,NSTonghop!R54)</f>
        <v>175/5 Võ Thành Long-Vĩnh Hưng-VTT</v>
      </c>
      <c r="S54" s="162" t="str">
        <f>IF(NSTonghop!$E54&lt;&gt;0,0,NSTonghop!S54)</f>
        <v>PTTH/86/TB</v>
      </c>
      <c r="T54" s="162" t="str">
        <f>IF(NSTonghop!$E54&lt;&gt;0,0,NSTonghop!T54)</f>
        <v>CĐ2/Toán-KTCN/88/TB</v>
      </c>
      <c r="U54" s="162" t="str">
        <f>IF(NSTonghop!$E54&lt;&gt;0,0,NSTonghop!U54)</f>
        <v>ĐHTX/Toán/03/Khá</v>
      </c>
      <c r="V54" s="162">
        <f>IF(NSTonghop!$E54&lt;&gt;0,0,NSTonghop!V54)</f>
        <v>0</v>
      </c>
      <c r="W54" s="162" t="str">
        <f>IF(NSTonghop!$E54&lt;&gt;0,0,NSTonghop!W54)</f>
        <v>ĐHTX</v>
      </c>
      <c r="X54" s="162" t="str">
        <f>IF(NSTonghop!$E54&lt;&gt;0,0,NSTonghop!X54)</f>
        <v>Toán</v>
      </c>
      <c r="Y54" s="162" t="str">
        <f>IF(NSTonghop!$E54&lt;&gt;0,0,NSTonghop!Y54)</f>
        <v>Toán</v>
      </c>
      <c r="Z54" s="162">
        <f>IF(NSTonghop!$E54&lt;&gt;0,0,NSTonghop!Z54)</f>
        <v>0</v>
      </c>
      <c r="AA54" s="162">
        <f>IF(NSTonghop!$E54&lt;&gt;0,0,NSTonghop!AA54)</f>
        <v>0</v>
      </c>
      <c r="AB54" s="162" t="str">
        <f>IF(NSTonghop!$E54&lt;&gt;0,0,NSTonghop!AB54)</f>
        <v>A/07/Giỏi</v>
      </c>
      <c r="AC54" s="162">
        <f>IF(NSTonghop!$E54&lt;&gt;0,0,NSTonghop!AC54)</f>
        <v>0</v>
      </c>
      <c r="AD54" s="162">
        <f>IF(NSTonghop!$E54&lt;&gt;0,0,NSTonghop!AD54)</f>
        <v>0</v>
      </c>
      <c r="AE54" s="162">
        <f>IF(NSTonghop!$E54&lt;&gt;0,0,NSTonghop!AE54)</f>
        <v>0</v>
      </c>
      <c r="AF54" s="162">
        <f>IF(NSTonghop!$E54&lt;&gt;0,0,NSTonghop!AF54)</f>
        <v>0</v>
      </c>
      <c r="AG54" s="162" t="str">
        <f>IF(NSTonghop!$E54&lt;&gt;0,0,NSTonghop!AG54)</f>
        <v>V.07.04.11</v>
      </c>
      <c r="AH54" s="162" t="str">
        <f>IF(NSTonghop!$E54&lt;&gt;0,0,NSTonghop!AH54)</f>
        <v>CN/15/Khá</v>
      </c>
      <c r="AI54" s="162">
        <f>IF(NSTonghop!$E54&lt;&gt;0,0,NSTonghop!AI54)</f>
        <v>5096017228</v>
      </c>
      <c r="AJ54" s="162">
        <f>IF(NSTonghop!$E54&lt;&gt;0,0,NSTonghop!AJ54)</f>
        <v>350799696</v>
      </c>
      <c r="AK54" s="162" t="str">
        <f>IF(NSTonghop!$E54&lt;&gt;0,0,NSTonghop!AK54)</f>
        <v>12/03/2012</v>
      </c>
      <c r="AL54" s="162" t="str">
        <f>IF(NSTonghop!$E54&lt;&gt;0,0,NSTonghop!AL54)</f>
        <v>01/09/1988</v>
      </c>
      <c r="AM54" s="162" t="str">
        <f>IF(NSTonghop!$E54&lt;&gt;0,0,NSTonghop!AM54)</f>
        <v>25/08/1993</v>
      </c>
      <c r="AN54" s="162" t="str">
        <f>IF(NSTonghop!$E54&lt;&gt;0,0,NSTonghop!AN54)</f>
        <v>20/12/1990</v>
      </c>
      <c r="AO54" s="162">
        <f>IF(NSTonghop!$E54&lt;&gt;0,0,NSTonghop!AO54)</f>
        <v>0</v>
      </c>
      <c r="AP54" s="162">
        <f>IF(NSTonghop!$E54&lt;&gt;0,0,NSTonghop!AP54)</f>
        <v>0</v>
      </c>
      <c r="AQ54" s="162" t="str">
        <f>IF(NSTonghop!$E54&lt;&gt;0,0,NSTonghop!AQ54)</f>
        <v/>
      </c>
      <c r="AR54" s="162">
        <f>IF(NSTonghop!$E54&lt;&gt;0,0,NSTonghop!AR54)</f>
        <v>0</v>
      </c>
      <c r="AS54" s="162">
        <f>IF(NSTonghop!$E54&lt;&gt;0,0,NSTonghop!AS54)</f>
        <v>0</v>
      </c>
      <c r="AT54" s="162" t="str">
        <f>IF(NSTonghop!$E54&lt;&gt;0,0,NSTonghop!AT54)</f>
        <v>0368505297</v>
      </c>
      <c r="AU54" s="212"/>
    </row>
    <row r="55" spans="1:47" x14ac:dyDescent="0.25">
      <c r="A55" s="220"/>
      <c r="B55" s="162">
        <f>IF(F55&lt;&gt;0,MAX($B$8:B54)+1,"")</f>
        <v>42</v>
      </c>
      <c r="C55" s="163">
        <f>IF(F55=0,0,MAX($C$50:C54)+1)</f>
        <v>6</v>
      </c>
      <c r="D55" s="441">
        <f>IF(NSTonghop!$E55&lt;&gt;0,0,NSTonghop!D55)</f>
        <v>23035</v>
      </c>
      <c r="E55" s="162">
        <f>IF(NSTonghop!E55&lt;&gt;0,0,0)</f>
        <v>0</v>
      </c>
      <c r="F55" s="162" t="str">
        <f>IF(NSTonghop!$E55&lt;&gt;0,0,NSTonghop!F55)</f>
        <v>Lê Thị Hương Trang</v>
      </c>
      <c r="G55" s="162" t="str">
        <f>IF(NSTonghop!$E55&lt;&gt;0,0,NSTonghop!G55)</f>
        <v>x</v>
      </c>
      <c r="H55" s="162">
        <f>IF(NSTonghop!$E55&lt;&gt;0,0,NSTonghop!H55)</f>
        <v>0</v>
      </c>
      <c r="I55" s="162" t="str">
        <f>IF(NSTonghop!$E55&lt;&gt;0,0,NSTonghop!I55)</f>
        <v>03/01/1982</v>
      </c>
      <c r="J55" s="162">
        <f>IF(NSTonghop!$E55&lt;&gt;0,0,NSTonghop!J55)</f>
        <v>0</v>
      </c>
      <c r="K55" s="162">
        <f>IF(NSTonghop!$E55&lt;&gt;0,0,NSTonghop!K55)</f>
        <v>1982</v>
      </c>
      <c r="L55" s="162" t="str">
        <f>IF(NSTonghop!$E55&lt;&gt;0,0,NSTonghop!L55)</f>
        <v>GV</v>
      </c>
      <c r="M55" s="162">
        <f>IF(NSTonghop!$E55&lt;&gt;0,0,NSTonghop!M55)</f>
        <v>0</v>
      </c>
      <c r="N55" s="162" t="str">
        <f>IF(NSTonghop!$E55&lt;&gt;0,0,NSTonghop!N55)</f>
        <v>Hòa Hảo</v>
      </c>
      <c r="O55" s="162" t="str">
        <f>IF(NSTonghop!$E55&lt;&gt;0,0,NSTonghop!O55)</f>
        <v>Nông dân</v>
      </c>
      <c r="P55" s="162" t="str">
        <f>IF(NSTonghop!$E55&lt;&gt;0,0,NSTonghop!P55)</f>
        <v>Bình Thạnh Đông-AG</v>
      </c>
      <c r="Q55" s="162" t="str">
        <f>IF(NSTonghop!$E55&lt;&gt;0,0,NSTonghop!Q55)</f>
        <v>Bình Thạnh Đông-Phú Tân</v>
      </c>
      <c r="R55" s="162" t="str">
        <f>IF(NSTonghop!$E55&lt;&gt;0,0,NSTonghop!R55)</f>
        <v>297/10 Vĩnh Thuận-VTT</v>
      </c>
      <c r="S55" s="162" t="str">
        <f>IF(NSTonghop!$E55&lt;&gt;0,0,NSTonghop!S55)</f>
        <v>PTTH/99/Khá</v>
      </c>
      <c r="T55" s="162" t="str">
        <f>IF(NSTonghop!$E55&lt;&gt;0,0,NSTonghop!T55)</f>
        <v>CĐ3/Toán-Tin/03/Khá</v>
      </c>
      <c r="U55" s="162" t="str">
        <f>IF(NSTonghop!$E55&lt;&gt;0,0,NSTonghop!U55)</f>
        <v>ĐHTX/Toán/08/Khá</v>
      </c>
      <c r="V55" s="162">
        <f>IF(NSTonghop!$E55&lt;&gt;0,0,NSTonghop!V55)</f>
        <v>0</v>
      </c>
      <c r="W55" s="162" t="str">
        <f>IF(NSTonghop!$E55&lt;&gt;0,0,NSTonghop!W55)</f>
        <v>ĐHTX</v>
      </c>
      <c r="X55" s="162" t="str">
        <f>IF(NSTonghop!$E55&lt;&gt;0,0,NSTonghop!X55)</f>
        <v>Toán</v>
      </c>
      <c r="Y55" s="162" t="str">
        <f>IF(NSTonghop!$E55&lt;&gt;0,0,NSTonghop!Y55)</f>
        <v>Toán</v>
      </c>
      <c r="Z55" s="162">
        <f>IF(NSTonghop!$E55&lt;&gt;0,0,NSTonghop!Z55)</f>
        <v>0</v>
      </c>
      <c r="AA55" s="162">
        <f>IF(NSTonghop!$E55&lt;&gt;0,0,NSTonghop!AA55)</f>
        <v>0</v>
      </c>
      <c r="AB55" s="162" t="str">
        <f>IF(NSTonghop!$E55&lt;&gt;0,0,NSTonghop!AB55)</f>
        <v>A/02/Giỏi</v>
      </c>
      <c r="AC55" s="162">
        <f>IF(NSTonghop!$E55&lt;&gt;0,0,NSTonghop!AC55)</f>
        <v>0</v>
      </c>
      <c r="AD55" s="162">
        <f>IF(NSTonghop!$E55&lt;&gt;0,0,NSTonghop!AD55)</f>
        <v>0</v>
      </c>
      <c r="AE55" s="162">
        <f>IF(NSTonghop!$E55&lt;&gt;0,0,NSTonghop!AE55)</f>
        <v>0</v>
      </c>
      <c r="AF55" s="162">
        <f>IF(NSTonghop!$E55&lt;&gt;0,0,NSTonghop!AF55)</f>
        <v>0</v>
      </c>
      <c r="AG55" s="162" t="str">
        <f>IF(NSTonghop!$E55&lt;&gt;0,0,NSTonghop!AG55)</f>
        <v>V.07.04.11</v>
      </c>
      <c r="AH55" s="162" t="str">
        <f>IF(NSTonghop!$E55&lt;&gt;0,0,NSTonghop!AH55)</f>
        <v>CN/05/Giỏi</v>
      </c>
      <c r="AI55" s="162">
        <f>IF(NSTonghop!$E55&lt;&gt;0,0,NSTonghop!AI55)</f>
        <v>5004003301</v>
      </c>
      <c r="AJ55" s="162">
        <f>IF(NSTonghop!$E55&lt;&gt;0,0,NSTonghop!AJ55)</f>
        <v>351411910</v>
      </c>
      <c r="AK55" s="162" t="str">
        <f>IF(NSTonghop!$E55&lt;&gt;0,0,NSTonghop!AK55)</f>
        <v>05/11/2012</v>
      </c>
      <c r="AL55" s="162" t="str">
        <f>IF(NSTonghop!$E55&lt;&gt;0,0,NSTonghop!AL55)</f>
        <v>01/09/2003</v>
      </c>
      <c r="AM55" s="162" t="str">
        <f>IF(NSTonghop!$E55&lt;&gt;0,0,NSTonghop!AM55)</f>
        <v>01/09/2003</v>
      </c>
      <c r="AN55" s="162" t="str">
        <f>IF(NSTonghop!$E55&lt;&gt;0,0,NSTonghop!AN55)</f>
        <v>01/03/2004</v>
      </c>
      <c r="AO55" s="162">
        <f>IF(NSTonghop!$E55&lt;&gt;0,0,NSTonghop!AO55)</f>
        <v>0</v>
      </c>
      <c r="AP55" s="162">
        <f>IF(NSTonghop!$E55&lt;&gt;0,0,NSTonghop!AP55)</f>
        <v>0</v>
      </c>
      <c r="AQ55" s="162" t="str">
        <f>IF(NSTonghop!$E55&lt;&gt;0,0,NSTonghop!AQ55)</f>
        <v/>
      </c>
      <c r="AR55" s="162" t="str">
        <f>IF(NSTonghop!$E55&lt;&gt;0,0,NSTonghop!AR55)</f>
        <v>26/3/1999</v>
      </c>
      <c r="AS55" s="162" t="str">
        <f>IF(NSTonghop!$E55&lt;&gt;0,0,NSTonghop!AS55)</f>
        <v>01/9/2003</v>
      </c>
      <c r="AT55" s="162" t="str">
        <f>IF(NSTonghop!$E55&lt;&gt;0,0,NSTonghop!AT55)</f>
        <v>0918404505</v>
      </c>
      <c r="AU55" s="212"/>
    </row>
    <row r="56" spans="1:47" x14ac:dyDescent="0.25">
      <c r="A56" s="220"/>
      <c r="B56" s="162">
        <f>IF(F56&lt;&gt;0,MAX($B$8:B55)+1,"")</f>
        <v>43</v>
      </c>
      <c r="C56" s="163">
        <f>IF(F56=0,0,MAX($C$50:C55)+1)</f>
        <v>7</v>
      </c>
      <c r="D56" s="441" t="str">
        <f>IF(NSTonghop!$E56&lt;&gt;0,0,NSTonghop!D56)</f>
        <v>x</v>
      </c>
      <c r="E56" s="162">
        <f>IF(NSTonghop!E56&lt;&gt;0,0,0)</f>
        <v>0</v>
      </c>
      <c r="F56" s="162" t="str">
        <f>IF(NSTonghop!$E56&lt;&gt;0,0,NSTonghop!F56)</f>
        <v>Trần Thiện Ý</v>
      </c>
      <c r="G56" s="162">
        <f>IF(NSTonghop!$E56&lt;&gt;0,0,NSTonghop!G56)</f>
        <v>0</v>
      </c>
      <c r="H56" s="162" t="str">
        <f>IF(NSTonghop!$E56&lt;&gt;0,0,NSTonghop!H56)</f>
        <v>16/06/1986</v>
      </c>
      <c r="I56" s="162">
        <f>IF(NSTonghop!$E56&lt;&gt;0,0,NSTonghop!I56)</f>
        <v>0</v>
      </c>
      <c r="J56" s="162">
        <f>IF(NSTonghop!$E56&lt;&gt;0,0,NSTonghop!J56)</f>
        <v>1986</v>
      </c>
      <c r="K56" s="162">
        <f>IF(NSTonghop!$E56&lt;&gt;0,0,NSTonghop!K56)</f>
        <v>0</v>
      </c>
      <c r="L56" s="162" t="str">
        <f>IF(NSTonghop!$E56&lt;&gt;0,0,NSTonghop!L56)</f>
        <v>GV</v>
      </c>
      <c r="M56" s="162">
        <f>IF(NSTonghop!$E56&lt;&gt;0,0,NSTonghop!M56)</f>
        <v>0</v>
      </c>
      <c r="N56" s="162" t="str">
        <f>IF(NSTonghop!$E56&lt;&gt;0,0,NSTonghop!N56)</f>
        <v>Phật</v>
      </c>
      <c r="O56" s="162" t="str">
        <f>IF(NSTonghop!$E56&lt;&gt;0,0,NSTonghop!O56)</f>
        <v>Nông dân</v>
      </c>
      <c r="P56" s="162" t="str">
        <f>IF(NSTonghop!$E56&lt;&gt;0,0,NSTonghop!P56)</f>
        <v>Cái Dầu-AG</v>
      </c>
      <c r="Q56" s="162" t="str">
        <f>IF(NSTonghop!$E56&lt;&gt;0,0,NSTonghop!Q56)</f>
        <v>Vĩnh Thạnh Trung-Châu Phú</v>
      </c>
      <c r="R56" s="162" t="str">
        <f>IF(NSTonghop!$E56&lt;&gt;0,0,NSTonghop!R56)</f>
        <v>48/3 Vĩnh Quới-VTT</v>
      </c>
      <c r="S56" s="162" t="str">
        <f>IF(NSTonghop!$E56&lt;&gt;0,0,NSTonghop!S56)</f>
        <v>PTTH/04/TB</v>
      </c>
      <c r="T56" s="162" t="str">
        <f>IF(NSTonghop!$E56&lt;&gt;0,0,NSTonghop!T56)</f>
        <v>CĐ3/Toán/09/TBK</v>
      </c>
      <c r="U56" s="162" t="str">
        <f>IF(NSTonghop!$E56&lt;&gt;0,0,NSTonghop!U56)</f>
        <v>ĐHTX/Toán/14/TBK</v>
      </c>
      <c r="V56" s="162">
        <f>IF(NSTonghop!$E56&lt;&gt;0,0,NSTonghop!V56)</f>
        <v>0</v>
      </c>
      <c r="W56" s="162" t="str">
        <f>IF(NSTonghop!$E56&lt;&gt;0,0,NSTonghop!W56)</f>
        <v>ĐHTX</v>
      </c>
      <c r="X56" s="162" t="str">
        <f>IF(NSTonghop!$E56&lt;&gt;0,0,NSTonghop!X56)</f>
        <v>Toán</v>
      </c>
      <c r="Y56" s="162" t="str">
        <f>IF(NSTonghop!$E56&lt;&gt;0,0,NSTonghop!Y56)</f>
        <v>Toán</v>
      </c>
      <c r="Z56" s="162">
        <f>IF(NSTonghop!$E56&lt;&gt;0,0,NSTonghop!Z56)</f>
        <v>0</v>
      </c>
      <c r="AA56" s="162">
        <f>IF(NSTonghop!$E56&lt;&gt;0,0,NSTonghop!AA56)</f>
        <v>0</v>
      </c>
      <c r="AB56" s="162" t="str">
        <f>IF(NSTonghop!$E56&lt;&gt;0,0,NSTonghop!AB56)</f>
        <v>A/10/Giỏi</v>
      </c>
      <c r="AC56" s="162" t="str">
        <f>IF(NSTonghop!$E56&lt;&gt;0,0,NSTonghop!AC56)</f>
        <v>A2/Anh/16/Khá</v>
      </c>
      <c r="AD56" s="162" t="str">
        <f>IF(NSTonghop!$E56&lt;&gt;0,0,NSTonghop!AD56)</f>
        <v>A/Anh/07/TB</v>
      </c>
      <c r="AE56" s="162">
        <f>IF(NSTonghop!$E56&lt;&gt;0,0,NSTonghop!AE56)</f>
        <v>0</v>
      </c>
      <c r="AF56" s="162">
        <f>IF(NSTonghop!$E56&lt;&gt;0,0,NSTonghop!AF56)</f>
        <v>0</v>
      </c>
      <c r="AG56" s="162" t="str">
        <f>IF(NSTonghop!$E56&lt;&gt;0,0,NSTonghop!AG56)</f>
        <v>V.07.04.11</v>
      </c>
      <c r="AH56" s="162">
        <f>IF(NSTonghop!$E56&lt;&gt;0,0,NSTonghop!AH56)</f>
        <v>0</v>
      </c>
      <c r="AI56" s="162">
        <f>IF(NSTonghop!$E56&lt;&gt;0,0,NSTonghop!AI56)</f>
        <v>8909004570</v>
      </c>
      <c r="AJ56" s="162">
        <f>IF(NSTonghop!$E56&lt;&gt;0,0,NSTonghop!AJ56)</f>
        <v>351673402</v>
      </c>
      <c r="AK56" s="162" t="str">
        <f>IF(NSTonghop!$E56&lt;&gt;0,0,NSTonghop!AK56)</f>
        <v>22/12/2016</v>
      </c>
      <c r="AL56" s="162" t="str">
        <f>IF(NSTonghop!$E56&lt;&gt;0,0,NSTonghop!AL56)</f>
        <v>01/09/2009</v>
      </c>
      <c r="AM56" s="162" t="str">
        <f>IF(NSTonghop!$E56&lt;&gt;0,0,NSTonghop!AM56)</f>
        <v>01/08/2012</v>
      </c>
      <c r="AN56" s="162" t="str">
        <f>IF(NSTonghop!$E56&lt;&gt;0,0,NSTonghop!AN56)</f>
        <v>01/09/2010</v>
      </c>
      <c r="AO56" s="162">
        <f>IF(NSTonghop!$E56&lt;&gt;0,0,NSTonghop!AO56)</f>
        <v>0</v>
      </c>
      <c r="AP56" s="162">
        <f>IF(NSTonghop!$E56&lt;&gt;0,0,NSTonghop!AP56)</f>
        <v>0</v>
      </c>
      <c r="AQ56" s="162" t="str">
        <f>IF(NSTonghop!$E56&lt;&gt;0,0,NSTonghop!AQ56)</f>
        <v/>
      </c>
      <c r="AR56" s="162" t="str">
        <f>IF(NSTonghop!$E56&lt;&gt;0,0,NSTonghop!AR56)</f>
        <v>15/12/2008</v>
      </c>
      <c r="AS56" s="162">
        <f>IF(NSTonghop!$E56&lt;&gt;0,0,NSTonghop!AS56)</f>
        <v>0</v>
      </c>
      <c r="AT56" s="162" t="str">
        <f>IF(NSTonghop!$E56&lt;&gt;0,0,NSTonghop!AT56)</f>
        <v>0389522171</v>
      </c>
      <c r="AU56" s="212"/>
    </row>
    <row r="57" spans="1:47" x14ac:dyDescent="0.25">
      <c r="A57" s="220"/>
      <c r="B57" s="162">
        <f>IF(F57&lt;&gt;0,MAX($B$8:B56)+1,"")</f>
        <v>44</v>
      </c>
      <c r="C57" s="163">
        <f>IF(F57=0,0,MAX($C$50:C56)+1)</f>
        <v>8</v>
      </c>
      <c r="D57" s="441">
        <f>IF(NSTonghop!$E57&lt;&gt;0,0,NSTonghop!D57)</f>
        <v>22874</v>
      </c>
      <c r="E57" s="162">
        <f>IF(NSTonghop!E57&lt;&gt;0,0,0)</f>
        <v>0</v>
      </c>
      <c r="F57" s="162" t="str">
        <f>IF(NSTonghop!$E57&lt;&gt;0,0,NSTonghop!F57)</f>
        <v>Đoàn Tô Ngọc Hương</v>
      </c>
      <c r="G57" s="162" t="str">
        <f>IF(NSTonghop!$E57&lt;&gt;0,0,NSTonghop!G57)</f>
        <v>x</v>
      </c>
      <c r="H57" s="162">
        <f>IF(NSTonghop!$E57&lt;&gt;0,0,NSTonghop!H57)</f>
        <v>0</v>
      </c>
      <c r="I57" s="162" t="str">
        <f>IF(NSTonghop!$E57&lt;&gt;0,0,NSTonghop!I57)</f>
        <v>28/07/1981</v>
      </c>
      <c r="J57" s="162">
        <f>IF(NSTonghop!$E57&lt;&gt;0,0,NSTonghop!J57)</f>
        <v>0</v>
      </c>
      <c r="K57" s="162">
        <f>IF(NSTonghop!$E57&lt;&gt;0,0,NSTonghop!K57)</f>
        <v>1981</v>
      </c>
      <c r="L57" s="162" t="str">
        <f>IF(NSTonghop!$E57&lt;&gt;0,0,NSTonghop!L57)</f>
        <v>GV</v>
      </c>
      <c r="M57" s="162">
        <f>IF(NSTonghop!$E57&lt;&gt;0,0,NSTonghop!M57)</f>
        <v>0</v>
      </c>
      <c r="N57" s="162" t="str">
        <f>IF(NSTonghop!$E57&lt;&gt;0,0,NSTonghop!N57)</f>
        <v>Phật</v>
      </c>
      <c r="O57" s="162" t="str">
        <f>IF(NSTonghop!$E57&lt;&gt;0,0,NSTonghop!O57)</f>
        <v>Trí thức</v>
      </c>
      <c r="P57" s="162" t="str">
        <f>IF(NSTonghop!$E57&lt;&gt;0,0,NSTonghop!P57)</f>
        <v>Vĩnh Thạnh Trung-AG</v>
      </c>
      <c r="Q57" s="162" t="str">
        <f>IF(NSTonghop!$E57&lt;&gt;0,0,NSTonghop!Q57)</f>
        <v>Vĩnh Thạnh Trung-Châu Phú</v>
      </c>
      <c r="R57" s="162" t="str">
        <f>IF(NSTonghop!$E57&lt;&gt;0,0,NSTonghop!R57)</f>
        <v>Vĩnh Hưng-VTT</v>
      </c>
      <c r="S57" s="162" t="str">
        <f>IF(NSTonghop!$E57&lt;&gt;0,0,NSTonghop!S57)</f>
        <v>PTTH/99/Khá</v>
      </c>
      <c r="T57" s="162" t="str">
        <f>IF(NSTonghop!$E57&lt;&gt;0,0,NSTonghop!T57)</f>
        <v>CĐ3/Toán-Tin/03/Khá</v>
      </c>
      <c r="U57" s="162" t="str">
        <f>IF(NSTonghop!$E57&lt;&gt;0,0,NSTonghop!U57)</f>
        <v>ĐHTX/Toán/08/TBK</v>
      </c>
      <c r="V57" s="162">
        <f>IF(NSTonghop!$E57&lt;&gt;0,0,NSTonghop!V57)</f>
        <v>0</v>
      </c>
      <c r="W57" s="162" t="str">
        <f>IF(NSTonghop!$E57&lt;&gt;0,0,NSTonghop!W57)</f>
        <v>ĐHTX</v>
      </c>
      <c r="X57" s="162" t="str">
        <f>IF(NSTonghop!$E57&lt;&gt;0,0,NSTonghop!X57)</f>
        <v>Toán</v>
      </c>
      <c r="Y57" s="162" t="str">
        <f>IF(NSTonghop!$E57&lt;&gt;0,0,NSTonghop!Y57)</f>
        <v>Toán</v>
      </c>
      <c r="Z57" s="162">
        <f>IF(NSTonghop!$E57&lt;&gt;0,0,NSTonghop!Z57)</f>
        <v>0</v>
      </c>
      <c r="AA57" s="162">
        <f>IF(NSTonghop!$E57&lt;&gt;0,0,NSTonghop!AA57)</f>
        <v>0</v>
      </c>
      <c r="AB57" s="162" t="str">
        <f>IF(NSTonghop!$E57&lt;&gt;0,0,NSTonghop!AB57)</f>
        <v>A/04/Giỏi</v>
      </c>
      <c r="AC57" s="162">
        <f>IF(NSTonghop!$E57&lt;&gt;0,0,NSTonghop!AC57)</f>
        <v>0</v>
      </c>
      <c r="AD57" s="162">
        <f>IF(NSTonghop!$E57&lt;&gt;0,0,NSTonghop!AD57)</f>
        <v>0</v>
      </c>
      <c r="AE57" s="162">
        <f>IF(NSTonghop!$E57&lt;&gt;0,0,NSTonghop!AE57)</f>
        <v>0</v>
      </c>
      <c r="AF57" s="162">
        <f>IF(NSTonghop!$E57&lt;&gt;0,0,NSTonghop!AF57)</f>
        <v>0</v>
      </c>
      <c r="AG57" s="162" t="str">
        <f>IF(NSTonghop!$E57&lt;&gt;0,0,NSTonghop!AG57)</f>
        <v>V.07.04.11</v>
      </c>
      <c r="AH57" s="162" t="str">
        <f>IF(NSTonghop!$E57&lt;&gt;0,0,NSTonghop!AH57)</f>
        <v>CN/05/Khá</v>
      </c>
      <c r="AI57" s="162">
        <f>IF(NSTonghop!$E57&lt;&gt;0,0,NSTonghop!AI57)</f>
        <v>5004003300</v>
      </c>
      <c r="AJ57" s="162">
        <f>IF(NSTonghop!$E57&lt;&gt;0,0,NSTonghop!AJ57)</f>
        <v>351360972</v>
      </c>
      <c r="AK57" s="162" t="str">
        <f>IF(NSTonghop!$E57&lt;&gt;0,0,NSTonghop!AK57)</f>
        <v>12/07/2010</v>
      </c>
      <c r="AL57" s="162" t="str">
        <f>IF(NSTonghop!$E57&lt;&gt;0,0,NSTonghop!AL57)</f>
        <v>01/09/2003</v>
      </c>
      <c r="AM57" s="162" t="str">
        <f>IF(NSTonghop!$E57&lt;&gt;0,0,NSTonghop!AM57)</f>
        <v>01/09/2003</v>
      </c>
      <c r="AN57" s="162" t="str">
        <f>IF(NSTonghop!$E57&lt;&gt;0,0,NSTonghop!AN57)</f>
        <v>01/03/2004</v>
      </c>
      <c r="AO57" s="162" t="str">
        <f>IF(NSTonghop!$E57&lt;&gt;0,0,NSTonghop!AO57)</f>
        <v>21/09/2009</v>
      </c>
      <c r="AP57" s="162" t="str">
        <f>IF(NSTonghop!$E57&lt;&gt;0,0,NSTonghop!AP57)</f>
        <v>31.040 609</v>
      </c>
      <c r="AQ57" s="162">
        <f>IF(NSTonghop!$E57&lt;&gt;0,0,NSTonghop!AQ57)</f>
        <v>2009</v>
      </c>
      <c r="AR57" s="162">
        <f>IF(NSTonghop!$E57&lt;&gt;0,0,NSTonghop!AR57)</f>
        <v>0</v>
      </c>
      <c r="AS57" s="162">
        <f>IF(NSTonghop!$E57&lt;&gt;0,0,NSTonghop!AS57)</f>
        <v>0</v>
      </c>
      <c r="AT57" s="162" t="str">
        <f>IF(NSTonghop!$E57&lt;&gt;0,0,NSTonghop!AT57)</f>
        <v>0858593079</v>
      </c>
      <c r="AU57" s="212"/>
    </row>
    <row r="58" spans="1:47" x14ac:dyDescent="0.25">
      <c r="A58" s="220"/>
      <c r="B58" s="162">
        <f>IF(F58&lt;&gt;0,MAX($B$8:B57)+1,"")</f>
        <v>45</v>
      </c>
      <c r="C58" s="163">
        <f>IF(F58=0,0,MAX($C$50:C57)+1)</f>
        <v>9</v>
      </c>
      <c r="D58" s="441">
        <f>IF(NSTonghop!$E58&lt;&gt;0,0,NSTonghop!D58)</f>
        <v>1215</v>
      </c>
      <c r="E58" s="162">
        <f>IF(NSTonghop!E58&lt;&gt;0,0,0)</f>
        <v>0</v>
      </c>
      <c r="F58" s="162" t="str">
        <f>IF(NSTonghop!$E58&lt;&gt;0,0,NSTonghop!F58)</f>
        <v>Huỳnh Thị Bích Vân</v>
      </c>
      <c r="G58" s="162" t="str">
        <f>IF(NSTonghop!$E58&lt;&gt;0,0,NSTonghop!G58)</f>
        <v>x</v>
      </c>
      <c r="H58" s="162">
        <f>IF(NSTonghop!$E58&lt;&gt;0,0,NSTonghop!H58)</f>
        <v>0</v>
      </c>
      <c r="I58" s="162" t="str">
        <f>IF(NSTonghop!$E58&lt;&gt;0,0,NSTonghop!I58)</f>
        <v>29/06/1966</v>
      </c>
      <c r="J58" s="162">
        <f>IF(NSTonghop!$E58&lt;&gt;0,0,NSTonghop!J58)</f>
        <v>0</v>
      </c>
      <c r="K58" s="162">
        <f>IF(NSTonghop!$E58&lt;&gt;0,0,NSTonghop!K58)</f>
        <v>1966</v>
      </c>
      <c r="L58" s="162" t="str">
        <f>IF(NSTonghop!$E58&lt;&gt;0,0,NSTonghop!L58)</f>
        <v>GV</v>
      </c>
      <c r="M58" s="162">
        <f>IF(NSTonghop!$E58&lt;&gt;0,0,NSTonghop!M58)</f>
        <v>0</v>
      </c>
      <c r="N58" s="162" t="str">
        <f>IF(NSTonghop!$E58&lt;&gt;0,0,NSTonghop!N58)</f>
        <v>Hòa Hảo</v>
      </c>
      <c r="O58" s="162" t="str">
        <f>IF(NSTonghop!$E58&lt;&gt;0,0,NSTonghop!O58)</f>
        <v>Nông dân</v>
      </c>
      <c r="P58" s="162" t="str">
        <f>IF(NSTonghop!$E58&lt;&gt;0,0,NSTonghop!P58)</f>
        <v>Long Kiến-An Giang</v>
      </c>
      <c r="Q58" s="162" t="str">
        <f>IF(NSTonghop!$E58&lt;&gt;0,0,NSTonghop!Q58)</f>
        <v>Long Kiến-Chợ Mới</v>
      </c>
      <c r="R58" s="162" t="str">
        <f>IF(NSTonghop!$E58&lt;&gt;0,0,NSTonghop!R58)</f>
        <v>Vĩnh Hưng-VTT</v>
      </c>
      <c r="S58" s="162" t="str">
        <f>IF(NSTonghop!$E58&lt;&gt;0,0,NSTonghop!S58)</f>
        <v>PTTH/85/TB</v>
      </c>
      <c r="T58" s="162" t="str">
        <f>IF(NSTonghop!$E58&lt;&gt;0,0,NSTonghop!T58)</f>
        <v>CĐ3/Toán-KTCN/89/TB</v>
      </c>
      <c r="U58" s="162" t="str">
        <f>IF(NSTonghop!$E58&lt;&gt;0,0,NSTonghop!U58)</f>
        <v>ĐHTX/Toán/99/TB</v>
      </c>
      <c r="V58" s="162">
        <f>IF(NSTonghop!$E58&lt;&gt;0,0,NSTonghop!V58)</f>
        <v>0</v>
      </c>
      <c r="W58" s="162" t="str">
        <f>IF(NSTonghop!$E58&lt;&gt;0,0,NSTonghop!W58)</f>
        <v>ĐHTX</v>
      </c>
      <c r="X58" s="162" t="str">
        <f>IF(NSTonghop!$E58&lt;&gt;0,0,NSTonghop!X58)</f>
        <v>Toán</v>
      </c>
      <c r="Y58" s="162" t="str">
        <f>IF(NSTonghop!$E58&lt;&gt;0,0,NSTonghop!Y58)</f>
        <v>Toán</v>
      </c>
      <c r="Z58" s="162">
        <f>IF(NSTonghop!$E58&lt;&gt;0,0,NSTonghop!Z58)</f>
        <v>0</v>
      </c>
      <c r="AA58" s="162">
        <f>IF(NSTonghop!$E58&lt;&gt;0,0,NSTonghop!AA58)</f>
        <v>0</v>
      </c>
      <c r="AB58" s="162" t="str">
        <f>IF(NSTonghop!$E58&lt;&gt;0,0,NSTonghop!AB58)</f>
        <v>A/08/Khá</v>
      </c>
      <c r="AC58" s="162">
        <f>IF(NSTonghop!$E58&lt;&gt;0,0,NSTonghop!AC58)</f>
        <v>0</v>
      </c>
      <c r="AD58" s="162">
        <f>IF(NSTonghop!$E58&lt;&gt;0,0,NSTonghop!AD58)</f>
        <v>0</v>
      </c>
      <c r="AE58" s="162">
        <f>IF(NSTonghop!$E58&lt;&gt;0,0,NSTonghop!AE58)</f>
        <v>0</v>
      </c>
      <c r="AF58" s="162">
        <f>IF(NSTonghop!$E58&lt;&gt;0,0,NSTonghop!AF58)</f>
        <v>0</v>
      </c>
      <c r="AG58" s="162" t="str">
        <f>IF(NSTonghop!$E58&lt;&gt;0,0,NSTonghop!AG58)</f>
        <v>V.07.04.11</v>
      </c>
      <c r="AH58" s="162" t="str">
        <f>IF(NSTonghop!$E58&lt;&gt;0,0,NSTonghop!AH58)</f>
        <v>CN/10/Khá</v>
      </c>
      <c r="AI58" s="162">
        <f>IF(NSTonghop!$E58&lt;&gt;0,0,NSTonghop!AI58)</f>
        <v>5096017218</v>
      </c>
      <c r="AJ58" s="162">
        <f>IF(NSTonghop!$E58&lt;&gt;0,0,NSTonghop!AJ58)</f>
        <v>351560443</v>
      </c>
      <c r="AK58" s="162" t="str">
        <f>IF(NSTonghop!$E58&lt;&gt;0,0,NSTonghop!AK58)</f>
        <v>12/03/2012</v>
      </c>
      <c r="AL58" s="162" t="str">
        <f>IF(NSTonghop!$E58&lt;&gt;0,0,NSTonghop!AL58)</f>
        <v>01/09/1988</v>
      </c>
      <c r="AM58" s="162" t="str">
        <f>IF(NSTonghop!$E58&lt;&gt;0,0,NSTonghop!AM58)</f>
        <v>01/09/1992</v>
      </c>
      <c r="AN58" s="162" t="str">
        <f>IF(NSTonghop!$E58&lt;&gt;0,0,NSTonghop!AN58)</f>
        <v>01/10/1991</v>
      </c>
      <c r="AO58" s="162" t="str">
        <f>IF(NSTonghop!$E58&lt;&gt;0,0,NSTonghop!AO58)</f>
        <v>07/10/2006</v>
      </c>
      <c r="AP58" s="162" t="str">
        <f>IF(NSTonghop!$E58&lt;&gt;0,0,NSTonghop!AP58)</f>
        <v>31.033 978</v>
      </c>
      <c r="AQ58" s="162">
        <f>IF(NSTonghop!$E58&lt;&gt;0,0,NSTonghop!AQ58)</f>
        <v>2006</v>
      </c>
      <c r="AR58" s="162">
        <f>IF(NSTonghop!$E58&lt;&gt;0,0,NSTonghop!AR58)</f>
        <v>0</v>
      </c>
      <c r="AS58" s="162">
        <f>IF(NSTonghop!$E58&lt;&gt;0,0,NSTonghop!AS58)</f>
        <v>33627</v>
      </c>
      <c r="AT58" s="162" t="str">
        <f>IF(NSTonghop!$E58&lt;&gt;0,0,NSTonghop!AT58)</f>
        <v>0358300982</v>
      </c>
      <c r="AU58" s="212"/>
    </row>
    <row r="59" spans="1:47" x14ac:dyDescent="0.25">
      <c r="A59" s="220"/>
      <c r="B59" s="162">
        <f>IF(F59&lt;&gt;0,MAX($B$8:B58)+1,"")</f>
        <v>46</v>
      </c>
      <c r="C59" s="163">
        <f>IF(F59=0,0,MAX($C$50:C58)+1)</f>
        <v>10</v>
      </c>
      <c r="D59" s="441">
        <f>IF(NSTonghop!$E59&lt;&gt;0,0,NSTonghop!D59)</f>
        <v>16293</v>
      </c>
      <c r="E59" s="162">
        <f>IF(NSTonghop!E59&lt;&gt;0,0,0)</f>
        <v>0</v>
      </c>
      <c r="F59" s="162" t="str">
        <f>IF(NSTonghop!$E59&lt;&gt;0,0,NSTonghop!F59)</f>
        <v>Phạm Minh Hiếu</v>
      </c>
      <c r="G59" s="162">
        <f>IF(NSTonghop!$E59&lt;&gt;0,0,NSTonghop!G59)</f>
        <v>0</v>
      </c>
      <c r="H59" s="162" t="str">
        <f>IF(NSTonghop!$E59&lt;&gt;0,0,NSTonghop!H59)</f>
        <v>09/02/1979</v>
      </c>
      <c r="I59" s="162">
        <f>IF(NSTonghop!$E59&lt;&gt;0,0,NSTonghop!I59)</f>
        <v>0</v>
      </c>
      <c r="J59" s="162">
        <f>IF(NSTonghop!$E59&lt;&gt;0,0,NSTonghop!J59)</f>
        <v>1979</v>
      </c>
      <c r="K59" s="162">
        <f>IF(NSTonghop!$E59&lt;&gt;0,0,NSTonghop!K59)</f>
        <v>0</v>
      </c>
      <c r="L59" s="162" t="str">
        <f>IF(NSTonghop!$E59&lt;&gt;0,0,NSTonghop!L59)</f>
        <v>GV</v>
      </c>
      <c r="M59" s="162">
        <f>IF(NSTonghop!$E59&lt;&gt;0,0,NSTonghop!M59)</f>
        <v>0</v>
      </c>
      <c r="N59" s="162" t="str">
        <f>IF(NSTonghop!$E59&lt;&gt;0,0,NSTonghop!N59)</f>
        <v>Công giáo</v>
      </c>
      <c r="O59" s="162" t="str">
        <f>IF(NSTonghop!$E59&lt;&gt;0,0,NSTonghop!O59)</f>
        <v>Nông dân</v>
      </c>
      <c r="P59" s="162" t="str">
        <f>IF(NSTonghop!$E59&lt;&gt;0,0,NSTonghop!P59)</f>
        <v>Bình Long-An Giang</v>
      </c>
      <c r="Q59" s="162" t="str">
        <f>IF(NSTonghop!$E59&lt;&gt;0,0,NSTonghop!Q59)</f>
        <v>Chất Thành-Kim Sơn-Hà Nam Ninh</v>
      </c>
      <c r="R59" s="162">
        <f>IF(NSTonghop!$E59&lt;&gt;0,0,NSTonghop!R59)</f>
        <v>0</v>
      </c>
      <c r="S59" s="162" t="str">
        <f>IF(NSTonghop!$E59&lt;&gt;0,0,NSTonghop!S59)</f>
        <v>PTTH/96/Khá</v>
      </c>
      <c r="T59" s="162" t="str">
        <f>IF(NSTonghop!$E59&lt;&gt;0,0,NSTonghop!T59)</f>
        <v>CĐ3/Toán-Tin/99/TB</v>
      </c>
      <c r="U59" s="162" t="str">
        <f>IF(NSTonghop!$E59&lt;&gt;0,0,NSTonghop!U59)</f>
        <v>ĐHTX/Toán/08/TBK</v>
      </c>
      <c r="V59" s="162">
        <f>IF(NSTonghop!$E59&lt;&gt;0,0,NSTonghop!V59)</f>
        <v>0</v>
      </c>
      <c r="W59" s="162" t="str">
        <f>IF(NSTonghop!$E59&lt;&gt;0,0,NSTonghop!W59)</f>
        <v>ĐHTX</v>
      </c>
      <c r="X59" s="162" t="str">
        <f>IF(NSTonghop!$E59&lt;&gt;0,0,NSTonghop!X59)</f>
        <v>Toán</v>
      </c>
      <c r="Y59" s="162" t="str">
        <f>IF(NSTonghop!$E59&lt;&gt;0,0,NSTonghop!Y59)</f>
        <v>Toán</v>
      </c>
      <c r="Z59" s="162">
        <f>IF(NSTonghop!$E59&lt;&gt;0,0,NSTonghop!Z59)</f>
        <v>0</v>
      </c>
      <c r="AA59" s="162" t="str">
        <f>IF(NSTonghop!$E59&lt;&gt;0,0,NSTonghop!AA59)</f>
        <v>TC/11</v>
      </c>
      <c r="AB59" s="162" t="str">
        <f>IF(NSTonghop!$E59&lt;&gt;0,0,NSTonghop!AB59)</f>
        <v>A/07/Giỏi</v>
      </c>
      <c r="AC59" s="162" t="str">
        <f>IF(NSTonghop!$E59&lt;&gt;0,0,NSTonghop!AC59)</f>
        <v>A/Anh/06/TB</v>
      </c>
      <c r="AD59" s="162">
        <f>IF(NSTonghop!$E59&lt;&gt;0,0,NSTonghop!AD59)</f>
        <v>0</v>
      </c>
      <c r="AE59" s="162">
        <f>IF(NSTonghop!$E59&lt;&gt;0,0,NSTonghop!AE59)</f>
        <v>0</v>
      </c>
      <c r="AF59" s="162">
        <f>IF(NSTonghop!$E59&lt;&gt;0,0,NSTonghop!AF59)</f>
        <v>0</v>
      </c>
      <c r="AG59" s="162" t="str">
        <f>IF(NSTonghop!$E59&lt;&gt;0,0,NSTonghop!AG59)</f>
        <v>V.07.04.11</v>
      </c>
      <c r="AH59" s="162" t="str">
        <f>IF(NSTonghop!$E59&lt;&gt;0,0,NSTonghop!AH59)</f>
        <v>CC/14/Khá</v>
      </c>
      <c r="AI59" s="162">
        <f>IF(NSTonghop!$E59&lt;&gt;0,0,NSTonghop!AI59)</f>
        <v>0</v>
      </c>
      <c r="AJ59" s="162">
        <f>IF(NSTonghop!$E59&lt;&gt;0,0,NSTonghop!AJ59)</f>
        <v>0</v>
      </c>
      <c r="AK59" s="162">
        <f>IF(NSTonghop!$E59&lt;&gt;0,0,NSTonghop!AK59)</f>
        <v>0</v>
      </c>
      <c r="AL59" s="162" t="str">
        <f>IF(NSTonghop!$E59&lt;&gt;0,0,NSTonghop!AL59)</f>
        <v>01/09/1999</v>
      </c>
      <c r="AM59" s="162" t="str">
        <f>IF(NSTonghop!$E59&lt;&gt;0,0,NSTonghop!AM59)</f>
        <v>01/09/2018</v>
      </c>
      <c r="AN59" s="162" t="str">
        <f>IF(NSTonghop!$E59&lt;&gt;0,0,NSTonghop!AN59)</f>
        <v>01/04/2000</v>
      </c>
      <c r="AO59" s="162" t="str">
        <f>IF(NSTonghop!$E59&lt;&gt;0,0,NSTonghop!AO59)</f>
        <v>20/08/2007</v>
      </c>
      <c r="AP59" s="162" t="str">
        <f>IF(NSTonghop!$E59&lt;&gt;0,0,NSTonghop!AP59)</f>
        <v>31.036 314</v>
      </c>
      <c r="AQ59" s="162">
        <f>IF(NSTonghop!$E59&lt;&gt;0,0,NSTonghop!AQ59)</f>
        <v>2007</v>
      </c>
      <c r="AR59" s="162">
        <f>IF(NSTonghop!$E59&lt;&gt;0,0,NSTonghop!AR59)</f>
        <v>0</v>
      </c>
      <c r="AS59" s="162">
        <f>IF(NSTonghop!$E59&lt;&gt;0,0,NSTonghop!AS59)</f>
        <v>0</v>
      </c>
      <c r="AT59" s="162" t="str">
        <f>IF(NSTonghop!$E59&lt;&gt;0,0,NSTonghop!AT59)</f>
        <v>0976992020</v>
      </c>
      <c r="AU59" s="212"/>
    </row>
    <row r="60" spans="1:47" x14ac:dyDescent="0.25">
      <c r="A60" s="220"/>
      <c r="B60" s="162" t="str">
        <f>IF(F60&lt;&gt;0,MAX($B$8:B59)+1,"")</f>
        <v/>
      </c>
      <c r="C60" s="163">
        <f>IF(F60=0,0,MAX($C$50:C59)+1)</f>
        <v>0</v>
      </c>
      <c r="D60" s="164">
        <f>IF(NSTonghop!$E60&lt;&gt;0,0,NSTonghop!D60)</f>
        <v>0</v>
      </c>
      <c r="E60" s="162">
        <f>IF(NSTonghop!E60&lt;&gt;0,0,0)</f>
        <v>0</v>
      </c>
      <c r="F60" s="162">
        <f>IF(NSTonghop!$E60&lt;&gt;0,0,NSTonghop!F60)</f>
        <v>0</v>
      </c>
      <c r="G60" s="162">
        <f>IF(NSTonghop!$E60&lt;&gt;0,0,NSTonghop!G60)</f>
        <v>0</v>
      </c>
      <c r="H60" s="162">
        <f>IF(NSTonghop!$E60&lt;&gt;0,0,NSTonghop!H60)</f>
        <v>0</v>
      </c>
      <c r="I60" s="162">
        <f>IF(NSTonghop!$E60&lt;&gt;0,0,NSTonghop!I60)</f>
        <v>0</v>
      </c>
      <c r="J60" s="162">
        <f>IF(NSTonghop!$E60&lt;&gt;0,0,NSTonghop!J60)</f>
        <v>0</v>
      </c>
      <c r="K60" s="162">
        <f>IF(NSTonghop!$E60&lt;&gt;0,0,NSTonghop!K60)</f>
        <v>0</v>
      </c>
      <c r="L60" s="162">
        <f>IF(NSTonghop!$E60&lt;&gt;0,0,NSTonghop!L60)</f>
        <v>0</v>
      </c>
      <c r="M60" s="162">
        <f>IF(NSTonghop!$E60&lt;&gt;0,0,NSTonghop!M60)</f>
        <v>0</v>
      </c>
      <c r="N60" s="162">
        <f>IF(NSTonghop!$E60&lt;&gt;0,0,NSTonghop!N60)</f>
        <v>0</v>
      </c>
      <c r="O60" s="162">
        <f>IF(NSTonghop!$E60&lt;&gt;0,0,NSTonghop!O60)</f>
        <v>0</v>
      </c>
      <c r="P60" s="162">
        <f>IF(NSTonghop!$E60&lt;&gt;0,0,NSTonghop!P60)</f>
        <v>0</v>
      </c>
      <c r="Q60" s="162">
        <f>IF(NSTonghop!$E60&lt;&gt;0,0,NSTonghop!Q60)</f>
        <v>0</v>
      </c>
      <c r="R60" s="162">
        <f>IF(NSTonghop!$E60&lt;&gt;0,0,NSTonghop!R60)</f>
        <v>0</v>
      </c>
      <c r="S60" s="162">
        <f>IF(NSTonghop!$E60&lt;&gt;0,0,NSTonghop!S60)</f>
        <v>0</v>
      </c>
      <c r="T60" s="162">
        <f>IF(NSTonghop!$E60&lt;&gt;0,0,NSTonghop!T60)</f>
        <v>0</v>
      </c>
      <c r="U60" s="162">
        <f>IF(NSTonghop!$E60&lt;&gt;0,0,NSTonghop!U60)</f>
        <v>0</v>
      </c>
      <c r="V60" s="162">
        <f>IF(NSTonghop!$E60&lt;&gt;0,0,NSTonghop!V60)</f>
        <v>0</v>
      </c>
      <c r="W60" s="162">
        <f>IF(NSTonghop!$E60&lt;&gt;0,0,NSTonghop!W60)</f>
        <v>0</v>
      </c>
      <c r="X60" s="162">
        <f>IF(NSTonghop!$E60&lt;&gt;0,0,NSTonghop!X60)</f>
        <v>0</v>
      </c>
      <c r="Y60" s="162">
        <f>IF(NSTonghop!$E60&lt;&gt;0,0,NSTonghop!Y60)</f>
        <v>0</v>
      </c>
      <c r="Z60" s="162">
        <f>IF(NSTonghop!$E60&lt;&gt;0,0,NSTonghop!Z60)</f>
        <v>0</v>
      </c>
      <c r="AA60" s="162">
        <f>IF(NSTonghop!$E60&lt;&gt;0,0,NSTonghop!AA60)</f>
        <v>0</v>
      </c>
      <c r="AB60" s="162">
        <f>IF(NSTonghop!$E60&lt;&gt;0,0,NSTonghop!AB60)</f>
        <v>0</v>
      </c>
      <c r="AC60" s="162">
        <f>IF(NSTonghop!$E60&lt;&gt;0,0,NSTonghop!AC60)</f>
        <v>0</v>
      </c>
      <c r="AD60" s="162">
        <f>IF(NSTonghop!$E60&lt;&gt;0,0,NSTonghop!AD60)</f>
        <v>0</v>
      </c>
      <c r="AE60" s="162">
        <f>IF(NSTonghop!$E60&lt;&gt;0,0,NSTonghop!AE60)</f>
        <v>0</v>
      </c>
      <c r="AF60" s="162">
        <f>IF(NSTonghop!$E60&lt;&gt;0,0,NSTonghop!AF60)</f>
        <v>0</v>
      </c>
      <c r="AG60" s="162">
        <f>IF(NSTonghop!$E60&lt;&gt;0,0,NSTonghop!AG60)</f>
        <v>0</v>
      </c>
      <c r="AH60" s="162">
        <f>IF(NSTonghop!$E60&lt;&gt;0,0,NSTonghop!AH60)</f>
        <v>0</v>
      </c>
      <c r="AI60" s="162">
        <f>IF(NSTonghop!$E60&lt;&gt;0,0,NSTonghop!AI60)</f>
        <v>0</v>
      </c>
      <c r="AJ60" s="162">
        <f>IF(NSTonghop!$E60&lt;&gt;0,0,NSTonghop!AJ60)</f>
        <v>0</v>
      </c>
      <c r="AK60" s="162">
        <f>IF(NSTonghop!$E60&lt;&gt;0,0,NSTonghop!AK60)</f>
        <v>0</v>
      </c>
      <c r="AL60" s="162">
        <f>IF(NSTonghop!$E60&lt;&gt;0,0,NSTonghop!AL60)</f>
        <v>0</v>
      </c>
      <c r="AM60" s="162">
        <f>IF(NSTonghop!$E60&lt;&gt;0,0,NSTonghop!AM60)</f>
        <v>0</v>
      </c>
      <c r="AN60" s="162">
        <f>IF(NSTonghop!$E60&lt;&gt;0,0,NSTonghop!AN60)</f>
        <v>0</v>
      </c>
      <c r="AO60" s="162">
        <f>IF(NSTonghop!$E60&lt;&gt;0,0,NSTonghop!AO60)</f>
        <v>0</v>
      </c>
      <c r="AP60" s="162">
        <f>IF(NSTonghop!$E60&lt;&gt;0,0,NSTonghop!AP60)</f>
        <v>0</v>
      </c>
      <c r="AQ60" s="162">
        <f>IF(NSTonghop!$E60&lt;&gt;0,0,NSTonghop!AQ60)</f>
        <v>0</v>
      </c>
      <c r="AR60" s="162">
        <f>IF(NSTonghop!$E60&lt;&gt;0,0,NSTonghop!AR60)</f>
        <v>0</v>
      </c>
      <c r="AS60" s="162">
        <f>IF(NSTonghop!$E60&lt;&gt;0,0,NSTonghop!AS60)</f>
        <v>0</v>
      </c>
      <c r="AT60" s="162">
        <f>IF(NSTonghop!$E60&lt;&gt;0,0,NSTonghop!AT60)</f>
        <v>0</v>
      </c>
      <c r="AU60" s="212"/>
    </row>
    <row r="61" spans="1:47" x14ac:dyDescent="0.25">
      <c r="A61" s="220"/>
      <c r="B61" s="162">
        <f>IF(F61&lt;&gt;0,MAX($B$8:B60)+1,"")</f>
        <v>47</v>
      </c>
      <c r="C61" s="163">
        <f>IF(F61=0,0,MAX($C$50:C60)+1)</f>
        <v>11</v>
      </c>
      <c r="D61" s="441" t="str">
        <f>IF(NSTonghop!$E61&lt;&gt;0,0,NSTonghop!D61)</f>
        <v>x</v>
      </c>
      <c r="E61" s="162">
        <f>IF(NSTonghop!E61&lt;&gt;0,0,0)</f>
        <v>0</v>
      </c>
      <c r="F61" s="162" t="str">
        <f>IF(NSTonghop!$E61&lt;&gt;0,0,NSTonghop!F61)</f>
        <v>Nguyễn Thị Hồng Gấm</v>
      </c>
      <c r="G61" s="162" t="str">
        <f>IF(NSTonghop!$E61&lt;&gt;0,0,NSTonghop!G61)</f>
        <v>x</v>
      </c>
      <c r="H61" s="162">
        <f>IF(NSTonghop!$E61&lt;&gt;0,0,NSTonghop!H61)</f>
        <v>0</v>
      </c>
      <c r="I61" s="162" t="str">
        <f>IF(NSTonghop!$E61&lt;&gt;0,0,NSTonghop!I61)</f>
        <v>14/12/1991</v>
      </c>
      <c r="J61" s="162">
        <f>IF(NSTonghop!$E61&lt;&gt;0,0,NSTonghop!J61)</f>
        <v>0</v>
      </c>
      <c r="K61" s="162">
        <f>IF(NSTonghop!$E61&lt;&gt;0,0,NSTonghop!K61)</f>
        <v>1991</v>
      </c>
      <c r="L61" s="162" t="str">
        <f>IF(NSTonghop!$E61&lt;&gt;0,0,NSTonghop!L61)</f>
        <v>GV</v>
      </c>
      <c r="M61" s="162">
        <f>IF(NSTonghop!$E61&lt;&gt;0,0,NSTonghop!M61)</f>
        <v>0</v>
      </c>
      <c r="N61" s="162">
        <f>IF(NSTonghop!$E61&lt;&gt;0,0,NSTonghop!N61)</f>
        <v>0</v>
      </c>
      <c r="O61" s="162">
        <f>IF(NSTonghop!$E61&lt;&gt;0,0,NSTonghop!O61)</f>
        <v>0</v>
      </c>
      <c r="P61" s="162">
        <f>IF(NSTonghop!$E61&lt;&gt;0,0,NSTonghop!P61)</f>
        <v>0</v>
      </c>
      <c r="Q61" s="162">
        <f>IF(NSTonghop!$E61&lt;&gt;0,0,NSTonghop!Q61)</f>
        <v>0</v>
      </c>
      <c r="R61" s="162">
        <f>IF(NSTonghop!$E61&lt;&gt;0,0,NSTonghop!R61)</f>
        <v>0</v>
      </c>
      <c r="S61" s="162">
        <f>IF(NSTonghop!$E61&lt;&gt;0,0,NSTonghop!S61)</f>
        <v>0</v>
      </c>
      <c r="T61" s="162" t="str">
        <f>IF(NSTonghop!$E61&lt;&gt;0,0,NSTonghop!T61)</f>
        <v>CĐ3/Tin/12/Khá</v>
      </c>
      <c r="U61" s="162" t="str">
        <f>IF(NSTonghop!$E61&lt;&gt;0,0,NSTonghop!U61)</f>
        <v>ĐHTC/Tin/2016/Giỏi</v>
      </c>
      <c r="V61" s="162">
        <f>IF(NSTonghop!$E61&lt;&gt;0,0,NSTonghop!V61)</f>
        <v>0</v>
      </c>
      <c r="W61" s="162" t="str">
        <f>IF(NSTonghop!$E61&lt;&gt;0,0,NSTonghop!W61)</f>
        <v>ĐHTC</v>
      </c>
      <c r="X61" s="162" t="str">
        <f>IF(NSTonghop!$E61&lt;&gt;0,0,NSTonghop!X61)</f>
        <v>Tin</v>
      </c>
      <c r="Y61" s="162" t="str">
        <f>IF(NSTonghop!$E61&lt;&gt;0,0,NSTonghop!Y61)</f>
        <v>Tin</v>
      </c>
      <c r="Z61" s="162">
        <f>IF(NSTonghop!$E61&lt;&gt;0,0,NSTonghop!Z61)</f>
        <v>0</v>
      </c>
      <c r="AA61" s="162">
        <f>IF(NSTonghop!$E61&lt;&gt;0,0,NSTonghop!AA61)</f>
        <v>0</v>
      </c>
      <c r="AB61" s="162" t="str">
        <f>IF(NSTonghop!$E61&lt;&gt;0,0,NSTonghop!AB61)</f>
        <v>A/07/Giỏi</v>
      </c>
      <c r="AC61" s="162" t="str">
        <f>IF(NSTonghop!$E61&lt;&gt;0,0,NSTonghop!AC61)</f>
        <v>B/Anh/13/TB</v>
      </c>
      <c r="AD61" s="162">
        <f>IF(NSTonghop!$E61&lt;&gt;0,0,NSTonghop!AD61)</f>
        <v>0</v>
      </c>
      <c r="AE61" s="162">
        <f>IF(NSTonghop!$E61&lt;&gt;0,0,NSTonghop!AE61)</f>
        <v>0</v>
      </c>
      <c r="AF61" s="162">
        <f>IF(NSTonghop!$E61&lt;&gt;0,0,NSTonghop!AF61)</f>
        <v>0</v>
      </c>
      <c r="AG61" s="162" t="str">
        <f>IF(NSTonghop!$E61&lt;&gt;0,0,NSTonghop!AG61)</f>
        <v>V.07.04.11</v>
      </c>
      <c r="AH61" s="162">
        <f>IF(NSTonghop!$E61&lt;&gt;0,0,NSTonghop!AH61)</f>
        <v>0</v>
      </c>
      <c r="AI61" s="162">
        <f>IF(NSTonghop!$E61&lt;&gt;0,0,NSTonghop!AI61)</f>
        <v>0</v>
      </c>
      <c r="AJ61" s="162">
        <f>IF(NSTonghop!$E61&lt;&gt;0,0,NSTonghop!AJ61)</f>
        <v>0</v>
      </c>
      <c r="AK61" s="162">
        <f>IF(NSTonghop!$E61&lt;&gt;0,0,NSTonghop!AK61)</f>
        <v>0</v>
      </c>
      <c r="AL61" s="162">
        <f>IF(NSTonghop!$E61&lt;&gt;0,0,NSTonghop!AL61)</f>
        <v>0</v>
      </c>
      <c r="AM61" s="162">
        <f>IF(NSTonghop!$E61&lt;&gt;0,0,NSTonghop!AM61)</f>
        <v>0</v>
      </c>
      <c r="AN61" s="162">
        <f>IF(NSTonghop!$E61&lt;&gt;0,0,NSTonghop!AN61)</f>
        <v>0</v>
      </c>
      <c r="AO61" s="162">
        <f>IF(NSTonghop!$E61&lt;&gt;0,0,NSTonghop!AO61)</f>
        <v>0</v>
      </c>
      <c r="AP61" s="162">
        <f>IF(NSTonghop!$E61&lt;&gt;0,0,NSTonghop!AP61)</f>
        <v>0</v>
      </c>
      <c r="AQ61" s="162" t="str">
        <f>IF(NSTonghop!$E61&lt;&gt;0,0,NSTonghop!AQ61)</f>
        <v/>
      </c>
      <c r="AR61" s="162">
        <f>IF(NSTonghop!$E61&lt;&gt;0,0,NSTonghop!AR61)</f>
        <v>0</v>
      </c>
      <c r="AS61" s="162">
        <f>IF(NSTonghop!$E61&lt;&gt;0,0,NSTonghop!AS61)</f>
        <v>0</v>
      </c>
      <c r="AT61" s="162" t="str">
        <f>IF(NSTonghop!$E61&lt;&gt;0,0,NSTonghop!AT61)</f>
        <v>0349902119</v>
      </c>
      <c r="AU61" s="212"/>
    </row>
    <row r="62" spans="1:47" x14ac:dyDescent="0.25">
      <c r="A62" s="220"/>
      <c r="B62" s="162">
        <f>IF(F62&lt;&gt;0,MAX($B$8:B61)+1,"")</f>
        <v>48</v>
      </c>
      <c r="C62" s="163">
        <f>IF(F62=0,0,MAX($C$50:C61)+1)</f>
        <v>12</v>
      </c>
      <c r="D62" s="441" t="str">
        <f>IF(NSTonghop!$E62&lt;&gt;0,0,NSTonghop!D62)</f>
        <v>x</v>
      </c>
      <c r="E62" s="162">
        <f>IF(NSTonghop!E62&lt;&gt;0,0,0)</f>
        <v>0</v>
      </c>
      <c r="F62" s="162" t="str">
        <f>IF(NSTonghop!$E62&lt;&gt;0,0,NSTonghop!F62)</f>
        <v>Trần Thị Ngọc Hiền</v>
      </c>
      <c r="G62" s="162" t="str">
        <f>IF(NSTonghop!$E62&lt;&gt;0,0,NSTonghop!G62)</f>
        <v>x</v>
      </c>
      <c r="H62" s="162">
        <f>IF(NSTonghop!$E62&lt;&gt;0,0,NSTonghop!H62)</f>
        <v>0</v>
      </c>
      <c r="I62" s="162" t="str">
        <f>IF(NSTonghop!$E62&lt;&gt;0,0,NSTonghop!I62)</f>
        <v>16/07/1989</v>
      </c>
      <c r="J62" s="162">
        <f>IF(NSTonghop!$E62&lt;&gt;0,0,NSTonghop!J62)</f>
        <v>0</v>
      </c>
      <c r="K62" s="162">
        <f>IF(NSTonghop!$E62&lt;&gt;0,0,NSTonghop!K62)</f>
        <v>1989</v>
      </c>
      <c r="L62" s="162" t="str">
        <f>IF(NSTonghop!$E62&lt;&gt;0,0,NSTonghop!L62)</f>
        <v>GV</v>
      </c>
      <c r="M62" s="162">
        <f>IF(NSTonghop!$E62&lt;&gt;0,0,NSTonghop!M62)</f>
        <v>0</v>
      </c>
      <c r="N62" s="162" t="str">
        <f>IF(NSTonghop!$E62&lt;&gt;0,0,NSTonghop!N62)</f>
        <v>x</v>
      </c>
      <c r="O62" s="162" t="str">
        <f>IF(NSTonghop!$E62&lt;&gt;0,0,NSTonghop!O62)</f>
        <v>Nông dân</v>
      </c>
      <c r="P62" s="162" t="str">
        <f>IF(NSTonghop!$E62&lt;&gt;0,0,NSTonghop!P62)</f>
        <v>An Giang</v>
      </c>
      <c r="Q62" s="162" t="str">
        <f>IF(NSTonghop!$E62&lt;&gt;0,0,NSTonghop!Q62)</f>
        <v>Vĩnh Thạnh Trung-Châu Phú</v>
      </c>
      <c r="R62" s="162" t="str">
        <f>IF(NSTonghop!$E62&lt;&gt;0,0,NSTonghop!R62)</f>
        <v>Bình Lợi-Bình Chánh</v>
      </c>
      <c r="S62" s="162" t="str">
        <f>IF(NSTonghop!$E62&lt;&gt;0,0,NSTonghop!S62)</f>
        <v>PTTH/07/TB</v>
      </c>
      <c r="T62" s="162" t="str">
        <f>IF(NSTonghop!$E62&lt;&gt;0,0,NSTonghop!T62)</f>
        <v>ĐHCQ/Tin/12/Khá</v>
      </c>
      <c r="U62" s="162">
        <f>IF(NSTonghop!$E62&lt;&gt;0,0,NSTonghop!U62)</f>
        <v>0</v>
      </c>
      <c r="V62" s="162">
        <f>IF(NSTonghop!$E62&lt;&gt;0,0,NSTonghop!V62)</f>
        <v>0</v>
      </c>
      <c r="W62" s="162" t="str">
        <f>IF(NSTonghop!$E62&lt;&gt;0,0,NSTonghop!W62)</f>
        <v>ĐHCQ</v>
      </c>
      <c r="X62" s="162" t="str">
        <f>IF(NSTonghop!$E62&lt;&gt;0,0,NSTonghop!X62)</f>
        <v>Tin</v>
      </c>
      <c r="Y62" s="162" t="str">
        <f>IF(NSTonghop!$E62&lt;&gt;0,0,NSTonghop!Y62)</f>
        <v>Tin</v>
      </c>
      <c r="Z62" s="162">
        <f>IF(NSTonghop!$E62&lt;&gt;0,0,NSTonghop!Z62)</f>
        <v>0</v>
      </c>
      <c r="AA62" s="162">
        <f>IF(NSTonghop!$E62&lt;&gt;0,0,NSTonghop!AA62)</f>
        <v>0</v>
      </c>
      <c r="AB62" s="162">
        <f>IF(NSTonghop!$E62&lt;&gt;0,0,NSTonghop!AB62)</f>
        <v>0</v>
      </c>
      <c r="AC62" s="162" t="str">
        <f>IF(NSTonghop!$E62&lt;&gt;0,0,NSTonghop!AC62)</f>
        <v>B/Anh/11/TB</v>
      </c>
      <c r="AD62" s="162">
        <f>IF(NSTonghop!$E62&lt;&gt;0,0,NSTonghop!AD62)</f>
        <v>0</v>
      </c>
      <c r="AE62" s="162">
        <f>IF(NSTonghop!$E62&lt;&gt;0,0,NSTonghop!AE62)</f>
        <v>0</v>
      </c>
      <c r="AF62" s="162">
        <f>IF(NSTonghop!$E62&lt;&gt;0,0,NSTonghop!AF62)</f>
        <v>0</v>
      </c>
      <c r="AG62" s="162" t="str">
        <f>IF(NSTonghop!$E62&lt;&gt;0,0,NSTonghop!AG62)</f>
        <v>V.07.04.11</v>
      </c>
      <c r="AH62" s="162" t="str">
        <f>IF(NSTonghop!$E62&lt;&gt;0,0,NSTonghop!AH62)</f>
        <v>CN/15/Khá</v>
      </c>
      <c r="AI62" s="162">
        <f>IF(NSTonghop!$E62&lt;&gt;0,0,NSTonghop!AI62)</f>
        <v>8912009658</v>
      </c>
      <c r="AJ62" s="162">
        <f>IF(NSTonghop!$E62&lt;&gt;0,0,NSTonghop!AJ62)</f>
        <v>351853836</v>
      </c>
      <c r="AK62" s="162" t="str">
        <f>IF(NSTonghop!$E62&lt;&gt;0,0,NSTonghop!AK62)</f>
        <v>10/08/2004</v>
      </c>
      <c r="AL62" s="162" t="str">
        <f>IF(NSTonghop!$E62&lt;&gt;0,0,NSTonghop!AL62)</f>
        <v>01/09/2012</v>
      </c>
      <c r="AM62" s="162" t="str">
        <f>IF(NSTonghop!$E62&lt;&gt;0,0,NSTonghop!AM62)</f>
        <v>01/09/2012</v>
      </c>
      <c r="AN62" s="162" t="str">
        <f>IF(NSTonghop!$E62&lt;&gt;0,0,NSTonghop!AN62)</f>
        <v>01/09/2013</v>
      </c>
      <c r="AO62" s="162" t="str">
        <f>IF(NSTonghop!$E62&lt;&gt;0,0,NSTonghop!AO62)</f>
        <v>24/01/2015</v>
      </c>
      <c r="AP62" s="162" t="str">
        <f>IF(NSTonghop!$E62&lt;&gt;0,0,NSTonghop!AP62)</f>
        <v>Chưa thẻ</v>
      </c>
      <c r="AQ62" s="162">
        <f>IF(NSTonghop!$E62&lt;&gt;0,0,NSTonghop!AQ62)</f>
        <v>2015</v>
      </c>
      <c r="AR62" s="162">
        <f>IF(NSTonghop!$E62&lt;&gt;0,0,NSTonghop!AR62)</f>
        <v>0</v>
      </c>
      <c r="AS62" s="162">
        <f>IF(NSTonghop!$E62&lt;&gt;0,0,NSTonghop!AS62)</f>
        <v>0</v>
      </c>
      <c r="AT62" s="162" t="str">
        <f>IF(NSTonghop!$E62&lt;&gt;0,0,NSTonghop!AT62)</f>
        <v>0974827911</v>
      </c>
      <c r="AU62" s="212"/>
    </row>
    <row r="63" spans="1:47" x14ac:dyDescent="0.25">
      <c r="A63" s="220"/>
      <c r="B63" s="162" t="str">
        <f>IF(F63&lt;&gt;0,MAX($B$8:B62)+1,"")</f>
        <v/>
      </c>
      <c r="C63" s="163">
        <f>IF(F63=0,0,MAX($C$50:C62)+1)</f>
        <v>0</v>
      </c>
      <c r="D63" s="164">
        <f>IF(NSTonghop!$E63&lt;&gt;0,0,NSTonghop!D63)</f>
        <v>0</v>
      </c>
      <c r="E63" s="162">
        <f>IF(NSTonghop!E63&lt;&gt;0,0,0)</f>
        <v>0</v>
      </c>
      <c r="F63" s="162">
        <f>IF(NSTonghop!$E63&lt;&gt;0,0,NSTonghop!F63)</f>
        <v>0</v>
      </c>
      <c r="G63" s="162">
        <f>IF(NSTonghop!$E63&lt;&gt;0,0,NSTonghop!G63)</f>
        <v>0</v>
      </c>
      <c r="H63" s="162">
        <f>IF(NSTonghop!$E63&lt;&gt;0,0,NSTonghop!H63)</f>
        <v>0</v>
      </c>
      <c r="I63" s="162">
        <f>IF(NSTonghop!$E63&lt;&gt;0,0,NSTonghop!I63)</f>
        <v>0</v>
      </c>
      <c r="J63" s="162">
        <f>IF(NSTonghop!$E63&lt;&gt;0,0,NSTonghop!J63)</f>
        <v>0</v>
      </c>
      <c r="K63" s="162">
        <f>IF(NSTonghop!$E63&lt;&gt;0,0,NSTonghop!K63)</f>
        <v>0</v>
      </c>
      <c r="L63" s="162">
        <f>IF(NSTonghop!$E63&lt;&gt;0,0,NSTonghop!L63)</f>
        <v>0</v>
      </c>
      <c r="M63" s="162">
        <f>IF(NSTonghop!$E63&lt;&gt;0,0,NSTonghop!M63)</f>
        <v>0</v>
      </c>
      <c r="N63" s="162">
        <f>IF(NSTonghop!$E63&lt;&gt;0,0,NSTonghop!N63)</f>
        <v>0</v>
      </c>
      <c r="O63" s="162">
        <f>IF(NSTonghop!$E63&lt;&gt;0,0,NSTonghop!O63)</f>
        <v>0</v>
      </c>
      <c r="P63" s="162">
        <f>IF(NSTonghop!$E63&lt;&gt;0,0,NSTonghop!P63)</f>
        <v>0</v>
      </c>
      <c r="Q63" s="162">
        <f>IF(NSTonghop!$E63&lt;&gt;0,0,NSTonghop!Q63)</f>
        <v>0</v>
      </c>
      <c r="R63" s="162">
        <f>IF(NSTonghop!$E63&lt;&gt;0,0,NSTonghop!R63)</f>
        <v>0</v>
      </c>
      <c r="S63" s="162">
        <f>IF(NSTonghop!$E63&lt;&gt;0,0,NSTonghop!S63)</f>
        <v>0</v>
      </c>
      <c r="T63" s="162">
        <f>IF(NSTonghop!$E63&lt;&gt;0,0,NSTonghop!T63)</f>
        <v>0</v>
      </c>
      <c r="U63" s="162">
        <f>IF(NSTonghop!$E63&lt;&gt;0,0,NSTonghop!U63)</f>
        <v>0</v>
      </c>
      <c r="V63" s="162">
        <f>IF(NSTonghop!$E63&lt;&gt;0,0,NSTonghop!V63)</f>
        <v>0</v>
      </c>
      <c r="W63" s="162">
        <f>IF(NSTonghop!$E63&lt;&gt;0,0,NSTonghop!W63)</f>
        <v>0</v>
      </c>
      <c r="X63" s="162">
        <f>IF(NSTonghop!$E63&lt;&gt;0,0,NSTonghop!X63)</f>
        <v>0</v>
      </c>
      <c r="Y63" s="162">
        <f>IF(NSTonghop!$E63&lt;&gt;0,0,NSTonghop!Y63)</f>
        <v>0</v>
      </c>
      <c r="Z63" s="162">
        <f>IF(NSTonghop!$E63&lt;&gt;0,0,NSTonghop!Z63)</f>
        <v>0</v>
      </c>
      <c r="AA63" s="162">
        <f>IF(NSTonghop!$E63&lt;&gt;0,0,NSTonghop!AA63)</f>
        <v>0</v>
      </c>
      <c r="AB63" s="162">
        <f>IF(NSTonghop!$E63&lt;&gt;0,0,NSTonghop!AB63)</f>
        <v>0</v>
      </c>
      <c r="AC63" s="162">
        <f>IF(NSTonghop!$E63&lt;&gt;0,0,NSTonghop!AC63)</f>
        <v>0</v>
      </c>
      <c r="AD63" s="162">
        <f>IF(NSTonghop!$E63&lt;&gt;0,0,NSTonghop!AD63)</f>
        <v>0</v>
      </c>
      <c r="AE63" s="162">
        <f>IF(NSTonghop!$E63&lt;&gt;0,0,NSTonghop!AE63)</f>
        <v>0</v>
      </c>
      <c r="AF63" s="162">
        <f>IF(NSTonghop!$E63&lt;&gt;0,0,NSTonghop!AF63)</f>
        <v>0</v>
      </c>
      <c r="AG63" s="162">
        <f>IF(NSTonghop!$E63&lt;&gt;0,0,NSTonghop!AG63)</f>
        <v>0</v>
      </c>
      <c r="AH63" s="162">
        <f>IF(NSTonghop!$E63&lt;&gt;0,0,NSTonghop!AH63)</f>
        <v>0</v>
      </c>
      <c r="AI63" s="162">
        <f>IF(NSTonghop!$E63&lt;&gt;0,0,NSTonghop!AI63)</f>
        <v>0</v>
      </c>
      <c r="AJ63" s="162">
        <f>IF(NSTonghop!$E63&lt;&gt;0,0,NSTonghop!AJ63)</f>
        <v>0</v>
      </c>
      <c r="AK63" s="162">
        <f>IF(NSTonghop!$E63&lt;&gt;0,0,NSTonghop!AK63)</f>
        <v>0</v>
      </c>
      <c r="AL63" s="162">
        <f>IF(NSTonghop!$E63&lt;&gt;0,0,NSTonghop!AL63)</f>
        <v>0</v>
      </c>
      <c r="AM63" s="162">
        <f>IF(NSTonghop!$E63&lt;&gt;0,0,NSTonghop!AM63)</f>
        <v>0</v>
      </c>
      <c r="AN63" s="162">
        <f>IF(NSTonghop!$E63&lt;&gt;0,0,NSTonghop!AN63)</f>
        <v>0</v>
      </c>
      <c r="AO63" s="162">
        <f>IF(NSTonghop!$E63&lt;&gt;0,0,NSTonghop!AO63)</f>
        <v>0</v>
      </c>
      <c r="AP63" s="162">
        <f>IF(NSTonghop!$E63&lt;&gt;0,0,NSTonghop!AP63)</f>
        <v>0</v>
      </c>
      <c r="AQ63" s="162">
        <f>IF(NSTonghop!$E63&lt;&gt;0,0,NSTonghop!AQ63)</f>
        <v>0</v>
      </c>
      <c r="AR63" s="162">
        <f>IF(NSTonghop!$E63&lt;&gt;0,0,NSTonghop!AR63)</f>
        <v>0</v>
      </c>
      <c r="AS63" s="162">
        <f>IF(NSTonghop!$E63&lt;&gt;0,0,NSTonghop!AS63)</f>
        <v>0</v>
      </c>
      <c r="AT63" s="162">
        <f>IF(NSTonghop!$E63&lt;&gt;0,0,NSTonghop!AT63)</f>
        <v>0</v>
      </c>
      <c r="AU63" s="212"/>
    </row>
    <row r="64" spans="1:47" x14ac:dyDescent="0.25">
      <c r="A64" s="220"/>
      <c r="B64" s="162">
        <f>IF(F64&lt;&gt;0,MAX($B$8:B63)+1,"")</f>
        <v>49</v>
      </c>
      <c r="C64" s="163">
        <f>IF(F64=0,0,MAX($C$50:C63)+1)</f>
        <v>13</v>
      </c>
      <c r="D64" s="441" t="str">
        <f>IF(NSTonghop!$E64&lt;&gt;0,0,NSTonghop!D64)</f>
        <v>x</v>
      </c>
      <c r="E64" s="162">
        <f>IF(NSTonghop!E64&lt;&gt;0,0,0)</f>
        <v>0</v>
      </c>
      <c r="F64" s="162" t="str">
        <f>IF(NSTonghop!$E64&lt;&gt;0,0,NSTonghop!F64)</f>
        <v>Lê Văn Thân</v>
      </c>
      <c r="G64" s="162">
        <f>IF(NSTonghop!$E64&lt;&gt;0,0,NSTonghop!G64)</f>
        <v>0</v>
      </c>
      <c r="H64" s="162" t="str">
        <f>IF(NSTonghop!$E64&lt;&gt;0,0,NSTonghop!H64)</f>
        <v>18/11/1991</v>
      </c>
      <c r="I64" s="162">
        <f>IF(NSTonghop!$E64&lt;&gt;0,0,NSTonghop!I64)</f>
        <v>0</v>
      </c>
      <c r="J64" s="162">
        <f>IF(NSTonghop!$E64&lt;&gt;0,0,NSTonghop!J64)</f>
        <v>1991</v>
      </c>
      <c r="K64" s="162">
        <f>IF(NSTonghop!$E64&lt;&gt;0,0,NSTonghop!K64)</f>
        <v>0</v>
      </c>
      <c r="L64" s="162" t="str">
        <f>IF(NSTonghop!$E64&lt;&gt;0,0,NSTonghop!L64)</f>
        <v>GV</v>
      </c>
      <c r="M64" s="162">
        <f>IF(NSTonghop!$E64&lt;&gt;0,0,NSTonghop!M64)</f>
        <v>0</v>
      </c>
      <c r="N64" s="162" t="str">
        <f>IF(NSTonghop!$E64&lt;&gt;0,0,NSTonghop!N64)</f>
        <v>Hòa Hảo</v>
      </c>
      <c r="O64" s="162" t="str">
        <f>IF(NSTonghop!$E64&lt;&gt;0,0,NSTonghop!O64)</f>
        <v>Nông dân</v>
      </c>
      <c r="P64" s="162" t="str">
        <f>IF(NSTonghop!$E64&lt;&gt;0,0,NSTonghop!P64)</f>
        <v>Bình Phú-AG</v>
      </c>
      <c r="Q64" s="162" t="str">
        <f>IF(NSTonghop!$E64&lt;&gt;0,0,NSTonghop!Q64)</f>
        <v>Bình Chánh-Châu Phú</v>
      </c>
      <c r="R64" s="162" t="str">
        <f>IF(NSTonghop!$E64&lt;&gt;0,0,NSTonghop!R64)</f>
        <v>Bình Lợi-Bình Chánh</v>
      </c>
      <c r="S64" s="162" t="str">
        <f>IF(NSTonghop!$E64&lt;&gt;0,0,NSTonghop!S64)</f>
        <v>PTTH/09/TB</v>
      </c>
      <c r="T64" s="162" t="str">
        <f>IF(NSTonghop!$E64&lt;&gt;0,0,NSTonghop!T64)</f>
        <v>CĐ3/Tin/13/TB</v>
      </c>
      <c r="U64" s="162" t="str">
        <f>IF(NSTonghop!$E64&lt;&gt;0,0,NSTonghop!U64)</f>
        <v>ĐHTC</v>
      </c>
      <c r="V64" s="162">
        <f>IF(NSTonghop!$E64&lt;&gt;0,0,NSTonghop!V64)</f>
        <v>0</v>
      </c>
      <c r="W64" s="162" t="str">
        <f>IF(NSTonghop!$E64&lt;&gt;0,0,NSTonghop!W64)</f>
        <v>ĐHTC</v>
      </c>
      <c r="X64" s="162" t="str">
        <f>IF(NSTonghop!$E64&lt;&gt;0,0,NSTonghop!X64)</f>
        <v>Tin</v>
      </c>
      <c r="Y64" s="162" t="str">
        <f>IF(NSTonghop!$E64&lt;&gt;0,0,NSTonghop!Y64)</f>
        <v>Tin</v>
      </c>
      <c r="Z64" s="162">
        <f>IF(NSTonghop!$E64&lt;&gt;0,0,NSTonghop!Z64)</f>
        <v>0</v>
      </c>
      <c r="AA64" s="162">
        <f>IF(NSTonghop!$E64&lt;&gt;0,0,NSTonghop!AA64)</f>
        <v>0</v>
      </c>
      <c r="AB64" s="162">
        <f>IF(NSTonghop!$E64&lt;&gt;0,0,NSTonghop!AB64)</f>
        <v>0</v>
      </c>
      <c r="AC64" s="162" t="str">
        <f>IF(NSTonghop!$E64&lt;&gt;0,0,NSTonghop!AC64)</f>
        <v>B/Anh/14/TB</v>
      </c>
      <c r="AD64" s="162">
        <f>IF(NSTonghop!$E64&lt;&gt;0,0,NSTonghop!AD64)</f>
        <v>0</v>
      </c>
      <c r="AE64" s="162">
        <f>IF(NSTonghop!$E64&lt;&gt;0,0,NSTonghop!AE64)</f>
        <v>0</v>
      </c>
      <c r="AF64" s="162">
        <f>IF(NSTonghop!$E64&lt;&gt;0,0,NSTonghop!AF64)</f>
        <v>0</v>
      </c>
      <c r="AG64" s="162" t="str">
        <f>IF(NSTonghop!$E64&lt;&gt;0,0,NSTonghop!AG64)</f>
        <v>V.07.04.12</v>
      </c>
      <c r="AH64" s="162">
        <f>IF(NSTonghop!$E64&lt;&gt;0,0,NSTonghop!AH64)</f>
        <v>0</v>
      </c>
      <c r="AI64" s="162">
        <f>IF(NSTonghop!$E64&lt;&gt;0,0,NSTonghop!AI64)</f>
        <v>8913010609</v>
      </c>
      <c r="AJ64" s="162">
        <f>IF(NSTonghop!$E64&lt;&gt;0,0,NSTonghop!AJ64)</f>
        <v>351995826</v>
      </c>
      <c r="AK64" s="162" t="str">
        <f>IF(NSTonghop!$E64&lt;&gt;0,0,NSTonghop!AK64)</f>
        <v>15/10/2012</v>
      </c>
      <c r="AL64" s="162" t="str">
        <f>IF(NSTonghop!$E64&lt;&gt;0,0,NSTonghop!AL64)</f>
        <v>01/09/2013</v>
      </c>
      <c r="AM64" s="162" t="str">
        <f>IF(NSTonghop!$E64&lt;&gt;0,0,NSTonghop!AM64)</f>
        <v>01/09/2013</v>
      </c>
      <c r="AN64" s="162" t="str">
        <f>IF(NSTonghop!$E64&lt;&gt;0,0,NSTonghop!AN64)</f>
        <v>01/09/2014</v>
      </c>
      <c r="AO64" s="162" t="str">
        <f>IF(NSTonghop!$E64&lt;&gt;0,0,NSTonghop!AO64)</f>
        <v>23/02/2019</v>
      </c>
      <c r="AP64" s="162" t="str">
        <f>IF(NSTonghop!$E64&lt;&gt;0,0,NSTonghop!AP64)</f>
        <v>Chưa thẻ</v>
      </c>
      <c r="AQ64" s="162">
        <f>IF(NSTonghop!$E64&lt;&gt;0,0,NSTonghop!AQ64)</f>
        <v>2019</v>
      </c>
      <c r="AR64" s="162">
        <f>IF(NSTonghop!$E64&lt;&gt;0,0,NSTonghop!AR64)</f>
        <v>0</v>
      </c>
      <c r="AS64" s="162">
        <f>IF(NSTonghop!$E64&lt;&gt;0,0,NSTonghop!AS64)</f>
        <v>0</v>
      </c>
      <c r="AT64" s="162" t="str">
        <f>IF(NSTonghop!$E64&lt;&gt;0,0,NSTonghop!AT64)</f>
        <v>0367919303</v>
      </c>
      <c r="AU64" s="212"/>
    </row>
    <row r="65" spans="1:47" x14ac:dyDescent="0.25">
      <c r="A65" s="220"/>
      <c r="B65" s="162" t="str">
        <f>IF(F65&lt;&gt;0,MAX($B$8:B64)+1,"")</f>
        <v/>
      </c>
      <c r="C65" s="163">
        <f>IF(F65=0,0,MAX($C$50:C64)+1)</f>
        <v>0</v>
      </c>
      <c r="D65" s="164">
        <f>IF(NSTonghop!$E65&lt;&gt;0,0,NSTonghop!D65)</f>
        <v>0</v>
      </c>
      <c r="E65" s="162">
        <f>IF(NSTonghop!E65&lt;&gt;0,0,0)</f>
        <v>0</v>
      </c>
      <c r="F65" s="162">
        <f>IF(NSTonghop!$E65&lt;&gt;0,0,NSTonghop!F65)</f>
        <v>0</v>
      </c>
      <c r="G65" s="162">
        <f>IF(NSTonghop!$E65&lt;&gt;0,0,NSTonghop!G65)</f>
        <v>0</v>
      </c>
      <c r="H65" s="162">
        <f>IF(NSTonghop!$E65&lt;&gt;0,0,NSTonghop!H65)</f>
        <v>0</v>
      </c>
      <c r="I65" s="162">
        <f>IF(NSTonghop!$E65&lt;&gt;0,0,NSTonghop!I65)</f>
        <v>0</v>
      </c>
      <c r="J65" s="162">
        <f>IF(NSTonghop!$E65&lt;&gt;0,0,NSTonghop!J65)</f>
        <v>0</v>
      </c>
      <c r="K65" s="162">
        <f>IF(NSTonghop!$E65&lt;&gt;0,0,NSTonghop!K65)</f>
        <v>0</v>
      </c>
      <c r="L65" s="162">
        <f>IF(NSTonghop!$E65&lt;&gt;0,0,NSTonghop!L65)</f>
        <v>0</v>
      </c>
      <c r="M65" s="162">
        <f>IF(NSTonghop!$E65&lt;&gt;0,0,NSTonghop!M65)</f>
        <v>0</v>
      </c>
      <c r="N65" s="162">
        <f>IF(NSTonghop!$E65&lt;&gt;0,0,NSTonghop!N65)</f>
        <v>0</v>
      </c>
      <c r="O65" s="162">
        <f>IF(NSTonghop!$E65&lt;&gt;0,0,NSTonghop!O65)</f>
        <v>0</v>
      </c>
      <c r="P65" s="162">
        <f>IF(NSTonghop!$E65&lt;&gt;0,0,NSTonghop!P65)</f>
        <v>0</v>
      </c>
      <c r="Q65" s="162">
        <f>IF(NSTonghop!$E65&lt;&gt;0,0,NSTonghop!Q65)</f>
        <v>0</v>
      </c>
      <c r="R65" s="162">
        <f>IF(NSTonghop!$E65&lt;&gt;0,0,NSTonghop!R65)</f>
        <v>0</v>
      </c>
      <c r="S65" s="162">
        <f>IF(NSTonghop!$E65&lt;&gt;0,0,NSTonghop!S65)</f>
        <v>0</v>
      </c>
      <c r="T65" s="162">
        <f>IF(NSTonghop!$E65&lt;&gt;0,0,NSTonghop!T65)</f>
        <v>0</v>
      </c>
      <c r="U65" s="162">
        <f>IF(NSTonghop!$E65&lt;&gt;0,0,NSTonghop!U65)</f>
        <v>0</v>
      </c>
      <c r="V65" s="162">
        <f>IF(NSTonghop!$E65&lt;&gt;0,0,NSTonghop!V65)</f>
        <v>0</v>
      </c>
      <c r="W65" s="162">
        <f>IF(NSTonghop!$E65&lt;&gt;0,0,NSTonghop!W65)</f>
        <v>0</v>
      </c>
      <c r="X65" s="162">
        <f>IF(NSTonghop!$E65&lt;&gt;0,0,NSTonghop!X65)</f>
        <v>0</v>
      </c>
      <c r="Y65" s="162">
        <f>IF(NSTonghop!$E65&lt;&gt;0,0,NSTonghop!Y65)</f>
        <v>0</v>
      </c>
      <c r="Z65" s="162">
        <f>IF(NSTonghop!$E65&lt;&gt;0,0,NSTonghop!Z65)</f>
        <v>0</v>
      </c>
      <c r="AA65" s="162">
        <f>IF(NSTonghop!$E65&lt;&gt;0,0,NSTonghop!AA65)</f>
        <v>0</v>
      </c>
      <c r="AB65" s="162">
        <f>IF(NSTonghop!$E65&lt;&gt;0,0,NSTonghop!AB65)</f>
        <v>0</v>
      </c>
      <c r="AC65" s="162">
        <f>IF(NSTonghop!$E65&lt;&gt;0,0,NSTonghop!AC65)</f>
        <v>0</v>
      </c>
      <c r="AD65" s="162">
        <f>IF(NSTonghop!$E65&lt;&gt;0,0,NSTonghop!AD65)</f>
        <v>0</v>
      </c>
      <c r="AE65" s="162">
        <f>IF(NSTonghop!$E65&lt;&gt;0,0,NSTonghop!AE65)</f>
        <v>0</v>
      </c>
      <c r="AF65" s="162">
        <f>IF(NSTonghop!$E65&lt;&gt;0,0,NSTonghop!AF65)</f>
        <v>0</v>
      </c>
      <c r="AG65" s="162">
        <f>IF(NSTonghop!$E65&lt;&gt;0,0,NSTonghop!AG65)</f>
        <v>0</v>
      </c>
      <c r="AH65" s="162">
        <f>IF(NSTonghop!$E65&lt;&gt;0,0,NSTonghop!AH65)</f>
        <v>0</v>
      </c>
      <c r="AI65" s="162">
        <f>IF(NSTonghop!$E65&lt;&gt;0,0,NSTonghop!AI65)</f>
        <v>0</v>
      </c>
      <c r="AJ65" s="162">
        <f>IF(NSTonghop!$E65&lt;&gt;0,0,NSTonghop!AJ65)</f>
        <v>0</v>
      </c>
      <c r="AK65" s="162">
        <f>IF(NSTonghop!$E65&lt;&gt;0,0,NSTonghop!AK65)</f>
        <v>0</v>
      </c>
      <c r="AL65" s="162">
        <f>IF(NSTonghop!$E65&lt;&gt;0,0,NSTonghop!AL65)</f>
        <v>0</v>
      </c>
      <c r="AM65" s="162">
        <f>IF(NSTonghop!$E65&lt;&gt;0,0,NSTonghop!AM65)</f>
        <v>0</v>
      </c>
      <c r="AN65" s="162">
        <f>IF(NSTonghop!$E65&lt;&gt;0,0,NSTonghop!AN65)</f>
        <v>0</v>
      </c>
      <c r="AO65" s="162">
        <f>IF(NSTonghop!$E65&lt;&gt;0,0,NSTonghop!AO65)</f>
        <v>0</v>
      </c>
      <c r="AP65" s="162">
        <f>IF(NSTonghop!$E65&lt;&gt;0,0,NSTonghop!AP65)</f>
        <v>0</v>
      </c>
      <c r="AQ65" s="162">
        <f>IF(NSTonghop!$E65&lt;&gt;0,0,NSTonghop!AQ65)</f>
        <v>0</v>
      </c>
      <c r="AR65" s="162">
        <f>IF(NSTonghop!$E65&lt;&gt;0,0,NSTonghop!AR65)</f>
        <v>0</v>
      </c>
      <c r="AS65" s="162">
        <f>IF(NSTonghop!$E65&lt;&gt;0,0,NSTonghop!AS65)</f>
        <v>0</v>
      </c>
      <c r="AT65" s="162">
        <f>IF(NSTonghop!$E65&lt;&gt;0,0,NSTonghop!AT65)</f>
        <v>0</v>
      </c>
      <c r="AU65" s="212"/>
    </row>
    <row r="66" spans="1:47" x14ac:dyDescent="0.25">
      <c r="A66" s="220"/>
      <c r="B66" s="162" t="str">
        <f>IF(F66&lt;&gt;0,MAX($B$8:B65)+1,"")</f>
        <v/>
      </c>
      <c r="C66" s="174">
        <f>IF(F66=0,0,MAX($C$50:C65)+1)</f>
        <v>0</v>
      </c>
      <c r="D66" s="175">
        <f>IF(NSTonghop!$E66&lt;&gt;0,0,NSTonghop!D66)</f>
        <v>0</v>
      </c>
      <c r="E66" s="173">
        <f>IF(NSTonghop!E66&lt;&gt;0,0,0)</f>
        <v>0</v>
      </c>
      <c r="F66" s="173">
        <f>IF(NSTonghop!$E66&lt;&gt;0,0,NSTonghop!F66)</f>
        <v>0</v>
      </c>
      <c r="G66" s="173">
        <f>IF(NSTonghop!$E66&lt;&gt;0,0,NSTonghop!G66)</f>
        <v>0</v>
      </c>
      <c r="H66" s="173">
        <f>IF(NSTonghop!$E66&lt;&gt;0,0,NSTonghop!H66)</f>
        <v>0</v>
      </c>
      <c r="I66" s="173">
        <f>IF(NSTonghop!$E66&lt;&gt;0,0,NSTonghop!I66)</f>
        <v>0</v>
      </c>
      <c r="J66" s="173">
        <f>IF(NSTonghop!$E66&lt;&gt;0,0,NSTonghop!J66)</f>
        <v>0</v>
      </c>
      <c r="K66" s="173">
        <f>IF(NSTonghop!$E66&lt;&gt;0,0,NSTonghop!K66)</f>
        <v>0</v>
      </c>
      <c r="L66" s="173">
        <f>IF(NSTonghop!$E66&lt;&gt;0,0,NSTonghop!L66)</f>
        <v>0</v>
      </c>
      <c r="M66" s="173">
        <f>IF(NSTonghop!$E66&lt;&gt;0,0,NSTonghop!M66)</f>
        <v>0</v>
      </c>
      <c r="N66" s="173">
        <f>IF(NSTonghop!$E66&lt;&gt;0,0,NSTonghop!N66)</f>
        <v>0</v>
      </c>
      <c r="O66" s="173">
        <f>IF(NSTonghop!$E66&lt;&gt;0,0,NSTonghop!O66)</f>
        <v>0</v>
      </c>
      <c r="P66" s="173">
        <f>IF(NSTonghop!$E66&lt;&gt;0,0,NSTonghop!P66)</f>
        <v>0</v>
      </c>
      <c r="Q66" s="173">
        <f>IF(NSTonghop!$E66&lt;&gt;0,0,NSTonghop!Q66)</f>
        <v>0</v>
      </c>
      <c r="R66" s="173">
        <f>IF(NSTonghop!$E66&lt;&gt;0,0,NSTonghop!R66)</f>
        <v>0</v>
      </c>
      <c r="S66" s="173">
        <f>IF(NSTonghop!$E66&lt;&gt;0,0,NSTonghop!S66)</f>
        <v>0</v>
      </c>
      <c r="T66" s="173">
        <f>IF(NSTonghop!$E66&lt;&gt;0,0,NSTonghop!T66)</f>
        <v>0</v>
      </c>
      <c r="U66" s="173">
        <f>IF(NSTonghop!$E66&lt;&gt;0,0,NSTonghop!U66)</f>
        <v>0</v>
      </c>
      <c r="V66" s="173">
        <f>IF(NSTonghop!$E66&lt;&gt;0,0,NSTonghop!V66)</f>
        <v>0</v>
      </c>
      <c r="W66" s="173">
        <f>IF(NSTonghop!$E66&lt;&gt;0,0,NSTonghop!W66)</f>
        <v>0</v>
      </c>
      <c r="X66" s="173">
        <f>IF(NSTonghop!$E66&lt;&gt;0,0,NSTonghop!X66)</f>
        <v>0</v>
      </c>
      <c r="Y66" s="173">
        <f>IF(NSTonghop!$E66&lt;&gt;0,0,NSTonghop!Y66)</f>
        <v>0</v>
      </c>
      <c r="Z66" s="173">
        <f>IF(NSTonghop!$E66&lt;&gt;0,0,NSTonghop!Z66)</f>
        <v>0</v>
      </c>
      <c r="AA66" s="173">
        <f>IF(NSTonghop!$E66&lt;&gt;0,0,NSTonghop!AA66)</f>
        <v>0</v>
      </c>
      <c r="AB66" s="173">
        <f>IF(NSTonghop!$E66&lt;&gt;0,0,NSTonghop!AB66)</f>
        <v>0</v>
      </c>
      <c r="AC66" s="173">
        <f>IF(NSTonghop!$E66&lt;&gt;0,0,NSTonghop!AC66)</f>
        <v>0</v>
      </c>
      <c r="AD66" s="173">
        <f>IF(NSTonghop!$E66&lt;&gt;0,0,NSTonghop!AD66)</f>
        <v>0</v>
      </c>
      <c r="AE66" s="173">
        <f>IF(NSTonghop!$E66&lt;&gt;0,0,NSTonghop!AE66)</f>
        <v>0</v>
      </c>
      <c r="AF66" s="173">
        <f>IF(NSTonghop!$E66&lt;&gt;0,0,NSTonghop!AF66)</f>
        <v>0</v>
      </c>
      <c r="AG66" s="173">
        <f>IF(NSTonghop!$E66&lt;&gt;0,0,NSTonghop!AG66)</f>
        <v>0</v>
      </c>
      <c r="AH66" s="173">
        <f>IF(NSTonghop!$E66&lt;&gt;0,0,NSTonghop!AH66)</f>
        <v>0</v>
      </c>
      <c r="AI66" s="173">
        <f>IF(NSTonghop!$E66&lt;&gt;0,0,NSTonghop!AI66)</f>
        <v>0</v>
      </c>
      <c r="AJ66" s="173">
        <f>IF(NSTonghop!$E66&lt;&gt;0,0,NSTonghop!AJ66)</f>
        <v>0</v>
      </c>
      <c r="AK66" s="173">
        <f>IF(NSTonghop!$E66&lt;&gt;0,0,NSTonghop!AK66)</f>
        <v>0</v>
      </c>
      <c r="AL66" s="173">
        <f>IF(NSTonghop!$E66&lt;&gt;0,0,NSTonghop!AL66)</f>
        <v>0</v>
      </c>
      <c r="AM66" s="173">
        <f>IF(NSTonghop!$E66&lt;&gt;0,0,NSTonghop!AM66)</f>
        <v>0</v>
      </c>
      <c r="AN66" s="173">
        <f>IF(NSTonghop!$E66&lt;&gt;0,0,NSTonghop!AN66)</f>
        <v>0</v>
      </c>
      <c r="AO66" s="173">
        <f>IF(NSTonghop!$E66&lt;&gt;0,0,NSTonghop!AO66)</f>
        <v>0</v>
      </c>
      <c r="AP66" s="173">
        <f>IF(NSTonghop!$E66&lt;&gt;0,0,NSTonghop!AP66)</f>
        <v>0</v>
      </c>
      <c r="AQ66" s="173">
        <f>IF(NSTonghop!$E66&lt;&gt;0,0,NSTonghop!AQ66)</f>
        <v>0</v>
      </c>
      <c r="AR66" s="173">
        <f>IF(NSTonghop!$E66&lt;&gt;0,0,NSTonghop!AR66)</f>
        <v>0</v>
      </c>
      <c r="AS66" s="173">
        <f>IF(NSTonghop!$E66&lt;&gt;0,0,NSTonghop!AS66)</f>
        <v>0</v>
      </c>
      <c r="AT66" s="173">
        <f>IF(NSTonghop!$E66&lt;&gt;0,0,NSTonghop!AT66)</f>
        <v>0</v>
      </c>
      <c r="AU66" s="212"/>
    </row>
    <row r="67" spans="1:47" s="118" customFormat="1" ht="16.5" customHeight="1" x14ac:dyDescent="0.25">
      <c r="A67" s="220"/>
      <c r="B67" s="224">
        <f>IF(F67&lt;&gt;0,MAX($B$8:B66)+1,"")</f>
        <v>50</v>
      </c>
      <c r="C67" s="182">
        <f>IF(F67=0,0,1)</f>
        <v>1</v>
      </c>
      <c r="D67" s="441">
        <f>IF(NSTonghop!$E67&lt;&gt;0,0,NSTonghop!D67)</f>
        <v>24659</v>
      </c>
      <c r="E67" s="122">
        <f>IF(NSTonghop!E67&lt;&gt;0,0,0)</f>
        <v>0</v>
      </c>
      <c r="F67" s="122" t="str">
        <f>IF(NSTonghop!$E67&lt;&gt;0,0,NSTonghop!F67)</f>
        <v>Châu Trần Tân Quốc</v>
      </c>
      <c r="G67" s="122">
        <f>IF(NSTonghop!$E67&lt;&gt;0,0,NSTonghop!G67)</f>
        <v>0</v>
      </c>
      <c r="H67" s="122" t="str">
        <f>IF(NSTonghop!$E67&lt;&gt;0,0,NSTonghop!H67)</f>
        <v>19/05/1981</v>
      </c>
      <c r="I67" s="122">
        <f>IF(NSTonghop!$E67&lt;&gt;0,0,NSTonghop!I67)</f>
        <v>0</v>
      </c>
      <c r="J67" s="122">
        <f>IF(NSTonghop!$E67&lt;&gt;0,0,NSTonghop!J67)</f>
        <v>1981</v>
      </c>
      <c r="K67" s="122">
        <f>IF(NSTonghop!$E67&lt;&gt;0,0,NSTonghop!K67)</f>
        <v>0</v>
      </c>
      <c r="L67" s="122" t="str">
        <f>IF(NSTonghop!$E67&lt;&gt;0,0,NSTonghop!L67)</f>
        <v>GV</v>
      </c>
      <c r="M67" s="122">
        <f>IF(NSTonghop!$E67&lt;&gt;0,0,NSTonghop!M67)</f>
        <v>0</v>
      </c>
      <c r="N67" s="122" t="str">
        <f>IF(NSTonghop!$E67&lt;&gt;0,0,NSTonghop!N67)</f>
        <v>Hiếu Nghĩa</v>
      </c>
      <c r="O67" s="122" t="str">
        <f>IF(NSTonghop!$E67&lt;&gt;0,0,NSTonghop!O67)</f>
        <v>Trí thức</v>
      </c>
      <c r="P67" s="122" t="str">
        <f>IF(NSTonghop!$E67&lt;&gt;0,0,NSTonghop!P67)</f>
        <v>Cái Dầu-AG</v>
      </c>
      <c r="Q67" s="122" t="str">
        <f>IF(NSTonghop!$E67&lt;&gt;0,0,NSTonghop!Q67)</f>
        <v>Cái Dầu-Châu Phú</v>
      </c>
      <c r="R67" s="122" t="str">
        <f>IF(NSTonghop!$E67&lt;&gt;0,0,NSTonghop!R67)</f>
        <v>704 Vĩnh Thành-Cái Dầu</v>
      </c>
      <c r="S67" s="122" t="str">
        <f>IF(NSTonghop!$E67&lt;&gt;0,0,NSTonghop!S67)</f>
        <v>PTTH/99/Khá</v>
      </c>
      <c r="T67" s="122" t="str">
        <f>IF(NSTonghop!$E67&lt;&gt;0,0,NSTonghop!T67)</f>
        <v>CĐ3/Hóa-Sinh/04/Khá</v>
      </c>
      <c r="U67" s="122" t="str">
        <f>IF(NSTonghop!$E67&lt;&gt;0,0,NSTonghop!U67)</f>
        <v>ĐHTX/Hóa/08/Khá</v>
      </c>
      <c r="V67" s="122" t="str">
        <f>IF(NSTonghop!$E67&lt;&gt;0,0,NSTonghop!V67)</f>
        <v>ThsCQ/Hóa/14/Giỏi</v>
      </c>
      <c r="W67" s="122" t="str">
        <f>IF(NSTonghop!$E67&lt;&gt;0,0,NSTonghop!W67)</f>
        <v>ThsC</v>
      </c>
      <c r="X67" s="122" t="str">
        <f>IF(NSTonghop!$E67&lt;&gt;0,0,NSTonghop!X67)</f>
        <v>Hóa-Sinh</v>
      </c>
      <c r="Y67" s="122" t="str">
        <f>IF(NSTonghop!$E67&lt;&gt;0,0,NSTonghop!Y67)</f>
        <v>Hóa-Sinh</v>
      </c>
      <c r="Z67" s="122" t="str">
        <f>IF(NSTonghop!$E67&lt;&gt;0,0,NSTonghop!Z67)</f>
        <v>QLGD/15/Khá</v>
      </c>
      <c r="AA67" s="122" t="str">
        <f>IF(NSTonghop!$E67&lt;&gt;0,0,NSTonghop!AA67)</f>
        <v>SC/15</v>
      </c>
      <c r="AB67" s="122" t="str">
        <f>IF(NSTonghop!$E67&lt;&gt;0,0,NSTonghop!AB67)</f>
        <v>A/07/Khá</v>
      </c>
      <c r="AC67" s="122" t="str">
        <f>IF(NSTonghop!$E67&lt;&gt;0,0,NSTonghop!AC67)</f>
        <v>B1/Anh/14</v>
      </c>
      <c r="AD67" s="122" t="str">
        <f>IF(NSTonghop!$E67&lt;&gt;0,0,NSTonghop!AD67)</f>
        <v>B/Anh/09/TB</v>
      </c>
      <c r="AE67" s="122">
        <f>IF(NSTonghop!$E67&lt;&gt;0,0,NSTonghop!AE67)</f>
        <v>0</v>
      </c>
      <c r="AF67" s="122">
        <f>IF(NSTonghop!$E67&lt;&gt;0,0,NSTonghop!AF67)</f>
        <v>0</v>
      </c>
      <c r="AG67" s="122" t="str">
        <f>IF(NSTonghop!$E67&lt;&gt;0,0,NSTonghop!AG67)</f>
        <v>V.07.04.11</v>
      </c>
      <c r="AH67" s="122" t="str">
        <f>IF(NSTonghop!$E67&lt;&gt;0,0,NSTonghop!AH67)</f>
        <v>CN/06/Khá</v>
      </c>
      <c r="AI67" s="122">
        <f>IF(NSTonghop!$E67&lt;&gt;0,0,NSTonghop!AI67)</f>
        <v>5005002748</v>
      </c>
      <c r="AJ67" s="122">
        <f>IF(NSTonghop!$E67&lt;&gt;0,0,NSTonghop!AJ67)</f>
        <v>351366246</v>
      </c>
      <c r="AK67" s="122" t="str">
        <f>IF(NSTonghop!$E67&lt;&gt;0,0,NSTonghop!AK67)</f>
        <v>13/04/2015</v>
      </c>
      <c r="AL67" s="122" t="str">
        <f>IF(NSTonghop!$E67&lt;&gt;0,0,NSTonghop!AL67)</f>
        <v>01/09/2004</v>
      </c>
      <c r="AM67" s="122" t="str">
        <f>IF(NSTonghop!$E67&lt;&gt;0,0,NSTonghop!AM67)</f>
        <v>01/09/2004</v>
      </c>
      <c r="AN67" s="122" t="str">
        <f>IF(NSTonghop!$E67&lt;&gt;0,0,NSTonghop!AN67)</f>
        <v>01/03/2005</v>
      </c>
      <c r="AO67" s="122" t="str">
        <f>IF(NSTonghop!$E67&lt;&gt;0,0,NSTonghop!AO67)</f>
        <v>23/06/2009</v>
      </c>
      <c r="AP67" s="122" t="str">
        <f>IF(NSTonghop!$E67&lt;&gt;0,0,NSTonghop!AP67)</f>
        <v>31.040 611</v>
      </c>
      <c r="AQ67" s="122">
        <f>IF(NSTonghop!$E67&lt;&gt;0,0,NSTonghop!AQ67)</f>
        <v>2009</v>
      </c>
      <c r="AR67" s="122">
        <f>IF(NSTonghop!$E67&lt;&gt;0,0,NSTonghop!AR67)</f>
        <v>0</v>
      </c>
      <c r="AS67" s="122">
        <f>IF(NSTonghop!$E67&lt;&gt;0,0,NSTonghop!AS67)</f>
        <v>2004</v>
      </c>
      <c r="AT67" s="122" t="str">
        <f>IF(NSTonghop!$E67&lt;&gt;0,0,NSTonghop!AT67)</f>
        <v>0917462746</v>
      </c>
      <c r="AU67" s="212"/>
    </row>
    <row r="68" spans="1:47" s="118" customFormat="1" x14ac:dyDescent="0.25">
      <c r="A68" s="220"/>
      <c r="B68" s="162">
        <f>IF(F68&lt;&gt;0,MAX($B$8:B67)+1,"")</f>
        <v>51</v>
      </c>
      <c r="C68" s="132">
        <f>IF(F68=0,0,MAX($C$67:C67)+1)</f>
        <v>2</v>
      </c>
      <c r="D68" s="441">
        <f>IF(NSTonghop!$E68&lt;&gt;0,0,NSTonghop!D68)</f>
        <v>34257</v>
      </c>
      <c r="E68" s="128">
        <f>IF(NSTonghop!E68&lt;&gt;0,0,0)</f>
        <v>0</v>
      </c>
      <c r="F68" s="128" t="str">
        <f>IF(NSTonghop!$E68&lt;&gt;0,0,NSTonghop!F68)</f>
        <v>Nguyễn Thanh Hiệp</v>
      </c>
      <c r="G68" s="128">
        <f>IF(NSTonghop!$E68&lt;&gt;0,0,NSTonghop!G68)</f>
        <v>0</v>
      </c>
      <c r="H68" s="128" t="str">
        <f>IF(NSTonghop!$E68&lt;&gt;0,0,NSTonghop!H68)</f>
        <v>13/09/1983</v>
      </c>
      <c r="I68" s="128">
        <f>IF(NSTonghop!$E68&lt;&gt;0,0,NSTonghop!I68)</f>
        <v>0</v>
      </c>
      <c r="J68" s="128">
        <f>IF(NSTonghop!$E68&lt;&gt;0,0,NSTonghop!J68)</f>
        <v>1983</v>
      </c>
      <c r="K68" s="128">
        <f>IF(NSTonghop!$E68&lt;&gt;0,0,NSTonghop!K68)</f>
        <v>0</v>
      </c>
      <c r="L68" s="128" t="str">
        <f>IF(NSTonghop!$E68&lt;&gt;0,0,NSTonghop!L68)</f>
        <v>GV</v>
      </c>
      <c r="M68" s="128">
        <f>IF(NSTonghop!$E68&lt;&gt;0,0,NSTonghop!M68)</f>
        <v>0</v>
      </c>
      <c r="N68" s="128" t="str">
        <f>IF(NSTonghop!$E68&lt;&gt;0,0,NSTonghop!N68)</f>
        <v>Hiếu Nghĩa</v>
      </c>
      <c r="O68" s="128" t="str">
        <f>IF(NSTonghop!$E68&lt;&gt;0,0,NSTonghop!O68)</f>
        <v>Nông dân</v>
      </c>
      <c r="P68" s="128" t="str">
        <f>IF(NSTonghop!$E68&lt;&gt;0,0,NSTonghop!P68)</f>
        <v>Vĩnh Thạnh Trung-AG</v>
      </c>
      <c r="Q68" s="128" t="str">
        <f>IF(NSTonghop!$E68&lt;&gt;0,0,NSTonghop!Q68)</f>
        <v>Vĩnh Thạnh Trung-Châu Phú</v>
      </c>
      <c r="R68" s="128" t="str">
        <f>IF(NSTonghop!$E68&lt;&gt;0,0,NSTonghop!R68)</f>
        <v>532/21 Vĩnh Quới-VTT</v>
      </c>
      <c r="S68" s="128" t="str">
        <f>IF(NSTonghop!$E68&lt;&gt;0,0,NSTonghop!S68)</f>
        <v>PTTH/02/Khá</v>
      </c>
      <c r="T68" s="128" t="str">
        <f>IF(NSTonghop!$E68&lt;&gt;0,0,NSTonghop!T68)</f>
        <v>CĐ3/Lý-KTCN/08/TBK</v>
      </c>
      <c r="U68" s="128">
        <f>IF(NSTonghop!$E68&lt;&gt;0,0,NSTonghop!U68)</f>
        <v>0</v>
      </c>
      <c r="V68" s="128">
        <f>IF(NSTonghop!$E68&lt;&gt;0,0,NSTonghop!V68)</f>
        <v>0</v>
      </c>
      <c r="W68" s="128" t="str">
        <f>IF(NSTonghop!$E68&lt;&gt;0,0,NSTonghop!W68)</f>
        <v>CĐ3/</v>
      </c>
      <c r="X68" s="128" t="str">
        <f>IF(NSTonghop!$E68&lt;&gt;0,0,NSTonghop!X68)</f>
        <v>Lý-KTCN</v>
      </c>
      <c r="Y68" s="128" t="str">
        <f>IF(NSTonghop!$E68&lt;&gt;0,0,NSTonghop!Y68)</f>
        <v>Lý</v>
      </c>
      <c r="Z68" s="128">
        <f>IF(NSTonghop!$E68&lt;&gt;0,0,NSTonghop!Z68)</f>
        <v>0</v>
      </c>
      <c r="AA68" s="128">
        <f>IF(NSTonghop!$E68&lt;&gt;0,0,NSTonghop!AA68)</f>
        <v>0</v>
      </c>
      <c r="AB68" s="128" t="str">
        <f>IF(NSTonghop!$E68&lt;&gt;0,0,NSTonghop!AB68)</f>
        <v>A/06/TB</v>
      </c>
      <c r="AC68" s="128">
        <f>IF(NSTonghop!$E68&lt;&gt;0,0,NSTonghop!AC68)</f>
        <v>0</v>
      </c>
      <c r="AD68" s="128">
        <f>IF(NSTonghop!$E68&lt;&gt;0,0,NSTonghop!AD68)</f>
        <v>0</v>
      </c>
      <c r="AE68" s="128">
        <f>IF(NSTonghop!$E68&lt;&gt;0,0,NSTonghop!AE68)</f>
        <v>0</v>
      </c>
      <c r="AF68" s="128">
        <f>IF(NSTonghop!$E68&lt;&gt;0,0,NSTonghop!AF68)</f>
        <v>0</v>
      </c>
      <c r="AG68" s="128" t="str">
        <f>IF(NSTonghop!$E68&lt;&gt;0,0,NSTonghop!AG68)</f>
        <v>V.07.04.12</v>
      </c>
      <c r="AH68" s="128" t="str">
        <f>IF(NSTonghop!$E68&lt;&gt;0,0,NSTonghop!AH68)</f>
        <v>CN/15/Khá</v>
      </c>
      <c r="AI68" s="128">
        <f>IF(NSTonghop!$E68&lt;&gt;0,0,NSTonghop!AI68)</f>
        <v>8909002472</v>
      </c>
      <c r="AJ68" s="128">
        <f>IF(NSTonghop!$E68&lt;&gt;0,0,NSTonghop!AJ68)</f>
        <v>351466527</v>
      </c>
      <c r="AK68" s="128" t="str">
        <f>IF(NSTonghop!$E68&lt;&gt;0,0,NSTonghop!AK68)</f>
        <v>16/07/2013</v>
      </c>
      <c r="AL68" s="128" t="str">
        <f>IF(NSTonghop!$E68&lt;&gt;0,0,NSTonghop!AL68)</f>
        <v>01/09/2009</v>
      </c>
      <c r="AM68" s="128" t="str">
        <f>IF(NSTonghop!$E68&lt;&gt;0,0,NSTonghop!AM68)</f>
        <v>16/09/2009</v>
      </c>
      <c r="AN68" s="128" t="str">
        <f>IF(NSTonghop!$E68&lt;&gt;0,0,NSTonghop!AN68)</f>
        <v>01/09/2010</v>
      </c>
      <c r="AO68" s="128" t="str">
        <f>IF(NSTonghop!$E68&lt;&gt;0,0,NSTonghop!AO68)</f>
        <v>24/08/2013</v>
      </c>
      <c r="AP68" s="128" t="str">
        <f>IF(NSTonghop!$E68&lt;&gt;0,0,NSTonghop!AP68)</f>
        <v>31.054 652</v>
      </c>
      <c r="AQ68" s="128">
        <f>IF(NSTonghop!$E68&lt;&gt;0,0,NSTonghop!AQ68)</f>
        <v>2013</v>
      </c>
      <c r="AR68" s="128" t="str">
        <f>IF(NSTonghop!$E68&lt;&gt;0,0,NSTonghop!AR68)</f>
        <v>26/3/2000</v>
      </c>
      <c r="AS68" s="128">
        <f>IF(NSTonghop!$E68&lt;&gt;0,0,NSTonghop!AS68)</f>
        <v>0</v>
      </c>
      <c r="AT68" s="128" t="str">
        <f>IF(NSTonghop!$E68&lt;&gt;0,0,NSTonghop!AT68)</f>
        <v>0378908576</v>
      </c>
      <c r="AU68" s="212"/>
    </row>
    <row r="69" spans="1:47" s="118" customFormat="1" x14ac:dyDescent="0.25">
      <c r="A69" s="220"/>
      <c r="B69" s="224">
        <f>IF(F69&lt;&gt;0,MAX($B$8:B68)+1,"")</f>
        <v>52</v>
      </c>
      <c r="C69" s="132">
        <f>IF(F69=0,0,MAX($C$67:C68)+1)</f>
        <v>3</v>
      </c>
      <c r="D69" s="441">
        <f>IF(NSTonghop!$E69&lt;&gt;0,0,NSTonghop!D69)</f>
        <v>29645</v>
      </c>
      <c r="E69" s="128">
        <f>IF(NSTonghop!E69&lt;&gt;0,0,0)</f>
        <v>0</v>
      </c>
      <c r="F69" s="128" t="str">
        <f>IF(NSTonghop!$E69&lt;&gt;0,0,NSTonghop!F69)</f>
        <v>Nguyễn Thanh Tùng</v>
      </c>
      <c r="G69" s="128">
        <f>IF(NSTonghop!$E69&lt;&gt;0,0,NSTonghop!G69)</f>
        <v>0</v>
      </c>
      <c r="H69" s="128" t="str">
        <f>IF(NSTonghop!$E69&lt;&gt;0,0,NSTonghop!H69)</f>
        <v>25/04/1985</v>
      </c>
      <c r="I69" s="128">
        <f>IF(NSTonghop!$E69&lt;&gt;0,0,NSTonghop!I69)</f>
        <v>0</v>
      </c>
      <c r="J69" s="128">
        <f>IF(NSTonghop!$E69&lt;&gt;0,0,NSTonghop!J69)</f>
        <v>1985</v>
      </c>
      <c r="K69" s="128">
        <f>IF(NSTonghop!$E69&lt;&gt;0,0,NSTonghop!K69)</f>
        <v>0</v>
      </c>
      <c r="L69" s="128" t="str">
        <f>IF(NSTonghop!$E69&lt;&gt;0,0,NSTonghop!L69)</f>
        <v>GV</v>
      </c>
      <c r="M69" s="128">
        <f>IF(NSTonghop!$E69&lt;&gt;0,0,NSTonghop!M69)</f>
        <v>0</v>
      </c>
      <c r="N69" s="128" t="str">
        <f>IF(NSTonghop!$E69&lt;&gt;0,0,NSTonghop!N69)</f>
        <v>Hòa Hảo</v>
      </c>
      <c r="O69" s="128" t="str">
        <f>IF(NSTonghop!$E69&lt;&gt;0,0,NSTonghop!O69)</f>
        <v>Nông dân</v>
      </c>
      <c r="P69" s="128" t="str">
        <f>IF(NSTonghop!$E69&lt;&gt;0,0,NSTonghop!P69)</f>
        <v>Cái Dầu-AG</v>
      </c>
      <c r="Q69" s="128" t="str">
        <f>IF(NSTonghop!$E69&lt;&gt;0,0,NSTonghop!Q69)</f>
        <v>Cái Dầu-Châu Phú</v>
      </c>
      <c r="R69" s="128" t="str">
        <f>IF(NSTonghop!$E69&lt;&gt;0,0,NSTonghop!R69)</f>
        <v>187/7 Bình Hòa-Cái Dầu</v>
      </c>
      <c r="S69" s="128" t="str">
        <f>IF(NSTonghop!$E69&lt;&gt;0,0,NSTonghop!S69)</f>
        <v>PTTH/03/TB</v>
      </c>
      <c r="T69" s="128" t="str">
        <f>IF(NSTonghop!$E69&lt;&gt;0,0,NSTonghop!T69)</f>
        <v>CĐ3/Lý-KTCN/06/TBK</v>
      </c>
      <c r="U69" s="128" t="str">
        <f>IF(NSTonghop!$E69&lt;&gt;0,0,NSTonghop!U69)</f>
        <v>ĐHTX/Lý/10/Khá</v>
      </c>
      <c r="V69" s="128">
        <f>IF(NSTonghop!$E69&lt;&gt;0,0,NSTonghop!V69)</f>
        <v>0</v>
      </c>
      <c r="W69" s="128" t="str">
        <f>IF(NSTonghop!$E69&lt;&gt;0,0,NSTonghop!W69)</f>
        <v>ĐHTX</v>
      </c>
      <c r="X69" s="128" t="str">
        <f>IF(NSTonghop!$E69&lt;&gt;0,0,NSTonghop!X69)</f>
        <v>Lý-KTCN</v>
      </c>
      <c r="Y69" s="128" t="str">
        <f>IF(NSTonghop!$E69&lt;&gt;0,0,NSTonghop!Y69)</f>
        <v>Lý</v>
      </c>
      <c r="Z69" s="128">
        <f>IF(NSTonghop!$E69&lt;&gt;0,0,NSTonghop!Z69)</f>
        <v>0</v>
      </c>
      <c r="AA69" s="128">
        <f>IF(NSTonghop!$E69&lt;&gt;0,0,NSTonghop!AA69)</f>
        <v>0</v>
      </c>
      <c r="AB69" s="128" t="str">
        <f>IF(NSTonghop!$E69&lt;&gt;0,0,NSTonghop!AB69)</f>
        <v>A/08/Giỏi</v>
      </c>
      <c r="AC69" s="128" t="str">
        <f>IF(NSTonghop!$E69&lt;&gt;0,0,NSTonghop!AC69)</f>
        <v>B/Anh/06/TB</v>
      </c>
      <c r="AD69" s="128">
        <f>IF(NSTonghop!$E69&lt;&gt;0,0,NSTonghop!AD69)</f>
        <v>0</v>
      </c>
      <c r="AE69" s="128">
        <f>IF(NSTonghop!$E69&lt;&gt;0,0,NSTonghop!AE69)</f>
        <v>0</v>
      </c>
      <c r="AF69" s="128">
        <f>IF(NSTonghop!$E69&lt;&gt;0,0,NSTonghop!AF69)</f>
        <v>0</v>
      </c>
      <c r="AG69" s="128" t="str">
        <f>IF(NSTonghop!$E69&lt;&gt;0,0,NSTonghop!AG69)</f>
        <v>V.07.04.11</v>
      </c>
      <c r="AH69" s="128" t="str">
        <f>IF(NSTonghop!$E69&lt;&gt;0,0,NSTonghop!AH69)</f>
        <v>CN/07/</v>
      </c>
      <c r="AI69" s="128">
        <f>IF(NSTonghop!$E69&lt;&gt;0,0,NSTonghop!AI69)</f>
        <v>8908006814</v>
      </c>
      <c r="AJ69" s="128">
        <f>IF(NSTonghop!$E69&lt;&gt;0,0,NSTonghop!AJ69)</f>
        <v>351577155</v>
      </c>
      <c r="AK69" s="128" t="str">
        <f>IF(NSTonghop!$E69&lt;&gt;0,0,NSTonghop!AK69)</f>
        <v>30/09/2015</v>
      </c>
      <c r="AL69" s="128" t="str">
        <f>IF(NSTonghop!$E69&lt;&gt;0,0,NSTonghop!AL69)</f>
        <v>01/09/2006</v>
      </c>
      <c r="AM69" s="128" t="str">
        <f>IF(NSTonghop!$E69&lt;&gt;0,0,NSTonghop!AM69)</f>
        <v>04/09/2006</v>
      </c>
      <c r="AN69" s="128" t="str">
        <f>IF(NSTonghop!$E69&lt;&gt;0,0,NSTonghop!AN69)</f>
        <v>01/09/2007</v>
      </c>
      <c r="AO69" s="128" t="str">
        <f>IF(NSTonghop!$E69&lt;&gt;0,0,NSTonghop!AO69)</f>
        <v>03/11/2018</v>
      </c>
      <c r="AP69" s="128" t="str">
        <f>IF(NSTonghop!$E69&lt;&gt;0,0,NSTonghop!AP69)</f>
        <v>Chưa thẻ</v>
      </c>
      <c r="AQ69" s="128">
        <f>IF(NSTonghop!$E69&lt;&gt;0,0,NSTonghop!AQ69)</f>
        <v>2018</v>
      </c>
      <c r="AR69" s="128" t="str">
        <f>IF(NSTonghop!$E69&lt;&gt;0,0,NSTonghop!AR69)</f>
        <v>26/03/1999</v>
      </c>
      <c r="AS69" s="128">
        <f>IF(NSTonghop!$E69&lt;&gt;0,0,NSTonghop!AS69)</f>
        <v>0</v>
      </c>
      <c r="AT69" s="128" t="str">
        <f>IF(NSTonghop!$E69&lt;&gt;0,0,NSTonghop!AT69)</f>
        <v>0972772477</v>
      </c>
      <c r="AU69" s="212"/>
    </row>
    <row r="70" spans="1:47" s="118" customFormat="1" x14ac:dyDescent="0.25">
      <c r="A70" s="220"/>
      <c r="B70" s="128">
        <f>IF(F70&lt;&gt;0,MAX($B$8:B69)+1,"")</f>
        <v>53</v>
      </c>
      <c r="C70" s="132">
        <f>IF(F70=0,0,MAX($C$67:C69)+1)</f>
        <v>4</v>
      </c>
      <c r="D70" s="441">
        <f>IF(NSTonghop!$E70&lt;&gt;0,0,NSTonghop!D70)</f>
        <v>17884</v>
      </c>
      <c r="E70" s="128">
        <f>IF(NSTonghop!E70&lt;&gt;0,0,0)</f>
        <v>0</v>
      </c>
      <c r="F70" s="128" t="str">
        <f>IF(NSTonghop!$E70&lt;&gt;0,0,NSTonghop!F70)</f>
        <v>Cao Thanh Phong</v>
      </c>
      <c r="G70" s="128">
        <f>IF(NSTonghop!$E70&lt;&gt;0,0,NSTonghop!G70)</f>
        <v>0</v>
      </c>
      <c r="H70" s="128" t="str">
        <f>IF(NSTonghop!$E70&lt;&gt;0,0,NSTonghop!H70)</f>
        <v>17/04/1976</v>
      </c>
      <c r="I70" s="128">
        <f>IF(NSTonghop!$E70&lt;&gt;0,0,NSTonghop!I70)</f>
        <v>0</v>
      </c>
      <c r="J70" s="128">
        <f>IF(NSTonghop!$E70&lt;&gt;0,0,NSTonghop!J70)</f>
        <v>1976</v>
      </c>
      <c r="K70" s="128">
        <f>IF(NSTonghop!$E70&lt;&gt;0,0,NSTonghop!K70)</f>
        <v>0</v>
      </c>
      <c r="L70" s="128" t="str">
        <f>IF(NSTonghop!$E70&lt;&gt;0,0,NSTonghop!L70)</f>
        <v>GV</v>
      </c>
      <c r="M70" s="128">
        <f>IF(NSTonghop!$E70&lt;&gt;0,0,NSTonghop!M70)</f>
        <v>0</v>
      </c>
      <c r="N70" s="128" t="str">
        <f>IF(NSTonghop!$E70&lt;&gt;0,0,NSTonghop!N70)</f>
        <v>Phật</v>
      </c>
      <c r="O70" s="128" t="str">
        <f>IF(NSTonghop!$E70&lt;&gt;0,0,NSTonghop!O70)</f>
        <v>Bần nông</v>
      </c>
      <c r="P70" s="128" t="str">
        <f>IF(NSTonghop!$E70&lt;&gt;0,0,NSTonghop!P70)</f>
        <v>Bình Long-An Giang</v>
      </c>
      <c r="Q70" s="128" t="str">
        <f>IF(NSTonghop!$E70&lt;&gt;0,0,NSTonghop!Q70)</f>
        <v>Bình Long-Châu Phú</v>
      </c>
      <c r="R70" s="128" t="str">
        <f>IF(NSTonghop!$E70&lt;&gt;0,0,NSTonghop!R70)</f>
        <v>Tổ 04 Chánh Hưng-Bình Long</v>
      </c>
      <c r="S70" s="128" t="str">
        <f>IF(NSTonghop!$E70&lt;&gt;0,0,NSTonghop!S70)</f>
        <v>PTTH/96/TB</v>
      </c>
      <c r="T70" s="128" t="str">
        <f>IF(NSTonghop!$E70&lt;&gt;0,0,NSTonghop!T70)</f>
        <v>CĐ3 KTĐiện/00/TB</v>
      </c>
      <c r="U70" s="128" t="str">
        <f>IF(NSTonghop!$E70&lt;&gt;0,0,NSTonghop!U70)</f>
        <v>ĐHTC/KTCN/13/Khá</v>
      </c>
      <c r="V70" s="128" t="str">
        <f>IF(NSTonghop!$E70&lt;&gt;0,0,NSTonghop!V70)</f>
        <v>ĐHTX/GDCT/12/Khá</v>
      </c>
      <c r="W70" s="128" t="str">
        <f>IF(NSTonghop!$E70&lt;&gt;0,0,NSTonghop!W70)</f>
        <v>ĐHTX</v>
      </c>
      <c r="X70" s="128" t="str">
        <f>IF(NSTonghop!$E70&lt;&gt;0,0,NSTonghop!X70)</f>
        <v>CN</v>
      </c>
      <c r="Y70" s="128" t="str">
        <f>IF(NSTonghop!$E70&lt;&gt;0,0,NSTonghop!Y70)</f>
        <v>CNCN</v>
      </c>
      <c r="Z70" s="128">
        <f>IF(NSTonghop!$E70&lt;&gt;0,0,NSTonghop!Z70)</f>
        <v>0</v>
      </c>
      <c r="AA70" s="128" t="str">
        <f>IF(NSTonghop!$E70&lt;&gt;0,0,NSTonghop!AA70)</f>
        <v>SC/18</v>
      </c>
      <c r="AB70" s="128" t="str">
        <f>IF(NSTonghop!$E70&lt;&gt;0,0,NSTonghop!AB70)</f>
        <v>A/08/Giỏi</v>
      </c>
      <c r="AC70" s="128">
        <f>IF(NSTonghop!$E70&lt;&gt;0,0,NSTonghop!AC70)</f>
        <v>0</v>
      </c>
      <c r="AD70" s="128">
        <f>IF(NSTonghop!$E70&lt;&gt;0,0,NSTonghop!AD70)</f>
        <v>0</v>
      </c>
      <c r="AE70" s="128">
        <f>IF(NSTonghop!$E70&lt;&gt;0,0,NSTonghop!AE70)</f>
        <v>0</v>
      </c>
      <c r="AF70" s="128">
        <f>IF(NSTonghop!$E70&lt;&gt;0,0,NSTonghop!AF70)</f>
        <v>0</v>
      </c>
      <c r="AG70" s="128" t="str">
        <f>IF(NSTonghop!$E70&lt;&gt;0,0,NSTonghop!AG70)</f>
        <v>V.07.04.11</v>
      </c>
      <c r="AH70" s="128" t="str">
        <f>IF(NSTonghop!$E70&lt;&gt;0,0,NSTonghop!AH70)</f>
        <v>CN/15/TB</v>
      </c>
      <c r="AI70" s="128">
        <f>IF(NSTonghop!$E70&lt;&gt;0,0,NSTonghop!AI70)</f>
        <v>5003000271</v>
      </c>
      <c r="AJ70" s="128">
        <f>IF(NSTonghop!$E70&lt;&gt;0,0,NSTonghop!AJ70)</f>
        <v>351230947</v>
      </c>
      <c r="AK70" s="128" t="str">
        <f>IF(NSTonghop!$E70&lt;&gt;0,0,NSTonghop!AK70)</f>
        <v>13/07/2010</v>
      </c>
      <c r="AL70" s="128" t="str">
        <f>IF(NSTonghop!$E70&lt;&gt;0,0,NSTonghop!AL70)</f>
        <v>01/05/2000</v>
      </c>
      <c r="AM70" s="128" t="str">
        <f>IF(NSTonghop!$E70&lt;&gt;0,0,NSTonghop!AM70)</f>
        <v>01/05/2000</v>
      </c>
      <c r="AN70" s="128" t="str">
        <f>IF(NSTonghop!$E70&lt;&gt;0,0,NSTonghop!AN70)</f>
        <v>01/11/2000</v>
      </c>
      <c r="AO70" s="128" t="str">
        <f>IF(NSTonghop!$E70&lt;&gt;0,0,NSTonghop!AO70)</f>
        <v>22/11/2008</v>
      </c>
      <c r="AP70" s="128" t="str">
        <f>IF(NSTonghop!$E70&lt;&gt;0,0,NSTonghop!AP70)</f>
        <v>31.038 083</v>
      </c>
      <c r="AQ70" s="128">
        <f>IF(NSTonghop!$E70&lt;&gt;0,0,NSTonghop!AQ70)</f>
        <v>2008</v>
      </c>
      <c r="AR70" s="128" t="str">
        <f>IF(NSTonghop!$E70&lt;&gt;0,0,NSTonghop!AR70)</f>
        <v>26/3/1995</v>
      </c>
      <c r="AS70" s="128">
        <f>IF(NSTonghop!$E70&lt;&gt;0,0,NSTonghop!AS70)</f>
        <v>0</v>
      </c>
      <c r="AT70" s="128" t="str">
        <f>IF(NSTonghop!$E70&lt;&gt;0,0,NSTonghop!AT70)</f>
        <v>0907598297</v>
      </c>
      <c r="AU70" s="212"/>
    </row>
    <row r="71" spans="1:47" s="118" customFormat="1" x14ac:dyDescent="0.25">
      <c r="A71" s="220"/>
      <c r="B71" s="128">
        <f>IF(F71&lt;&gt;0,MAX($B$8:B70)+1,"")</f>
        <v>54</v>
      </c>
      <c r="C71" s="132">
        <f>IF(F71=0,0,MAX($C$67:C70)+1)</f>
        <v>5</v>
      </c>
      <c r="D71" s="441">
        <f>IF(NSTonghop!$E71&lt;&gt;0,0,NSTonghop!D71)</f>
        <v>16185</v>
      </c>
      <c r="E71" s="128">
        <f>IF(NSTonghop!E71&lt;&gt;0,0,0)</f>
        <v>0</v>
      </c>
      <c r="F71" s="128" t="str">
        <f>IF(NSTonghop!$E71&lt;&gt;0,0,NSTonghop!F71)</f>
        <v>Bùi Thị Huỳnh Hương</v>
      </c>
      <c r="G71" s="128" t="str">
        <f>IF(NSTonghop!$E71&lt;&gt;0,0,NSTonghop!G71)</f>
        <v>x</v>
      </c>
      <c r="H71" s="128">
        <f>IF(NSTonghop!$E71&lt;&gt;0,0,NSTonghop!H71)</f>
        <v>0</v>
      </c>
      <c r="I71" s="128" t="str">
        <f>IF(NSTonghop!$E71&lt;&gt;0,0,NSTonghop!I71)</f>
        <v>05/02/1979</v>
      </c>
      <c r="J71" s="128">
        <f>IF(NSTonghop!$E71&lt;&gt;0,0,NSTonghop!J71)</f>
        <v>0</v>
      </c>
      <c r="K71" s="128">
        <f>IF(NSTonghop!$E71&lt;&gt;0,0,NSTonghop!K71)</f>
        <v>1979</v>
      </c>
      <c r="L71" s="128" t="str">
        <f>IF(NSTonghop!$E71&lt;&gt;0,0,NSTonghop!L71)</f>
        <v>GV</v>
      </c>
      <c r="M71" s="128">
        <f>IF(NSTonghop!$E71&lt;&gt;0,0,NSTonghop!M71)</f>
        <v>0</v>
      </c>
      <c r="N71" s="128" t="str">
        <f>IF(NSTonghop!$E71&lt;&gt;0,0,NSTonghop!N71)</f>
        <v>Phật</v>
      </c>
      <c r="O71" s="128" t="str">
        <f>IF(NSTonghop!$E71&lt;&gt;0,0,NSTonghop!O71)</f>
        <v>Nông dân</v>
      </c>
      <c r="P71" s="128" t="str">
        <f>IF(NSTonghop!$E71&lt;&gt;0,0,NSTonghop!P71)</f>
        <v>Long Kiến-AG</v>
      </c>
      <c r="Q71" s="128" t="str">
        <f>IF(NSTonghop!$E71&lt;&gt;0,0,NSTonghop!Q71)</f>
        <v>An Thạnh Trung-Chợ Mới</v>
      </c>
      <c r="R71" s="128" t="str">
        <f>IF(NSTonghop!$E71&lt;&gt;0,0,NSTonghop!R71)</f>
        <v>15/22 Bình Nghĩa-Cái Dầu</v>
      </c>
      <c r="S71" s="128" t="str">
        <f>IF(NSTonghop!$E71&lt;&gt;0,0,NSTonghop!S71)</f>
        <v>PTTH/96/TB</v>
      </c>
      <c r="T71" s="128" t="str">
        <f>IF(NSTonghop!$E71&lt;&gt;0,0,NSTonghop!T71)</f>
        <v>CĐ3/Lý-KTCN/99/TB</v>
      </c>
      <c r="U71" s="128" t="str">
        <f>IF(NSTonghop!$E71&lt;&gt;0,0,NSTonghop!U71)</f>
        <v>ĐHTX/Lý/07/TBK</v>
      </c>
      <c r="V71" s="128">
        <f>IF(NSTonghop!$E71&lt;&gt;0,0,NSTonghop!V71)</f>
        <v>0</v>
      </c>
      <c r="W71" s="128" t="str">
        <f>IF(NSTonghop!$E71&lt;&gt;0,0,NSTonghop!W71)</f>
        <v>ĐHTX</v>
      </c>
      <c r="X71" s="128" t="str">
        <f>IF(NSTonghop!$E71&lt;&gt;0,0,NSTonghop!X71)</f>
        <v>Lý</v>
      </c>
      <c r="Y71" s="128" t="str">
        <f>IF(NSTonghop!$E71&lt;&gt;0,0,NSTonghop!Y71)</f>
        <v>Lý</v>
      </c>
      <c r="Z71" s="128">
        <f>IF(NSTonghop!$E71&lt;&gt;0,0,NSTonghop!Z71)</f>
        <v>0</v>
      </c>
      <c r="AA71" s="128">
        <f>IF(NSTonghop!$E71&lt;&gt;0,0,NSTonghop!AA71)</f>
        <v>0</v>
      </c>
      <c r="AB71" s="128" t="str">
        <f>IF(NSTonghop!$E71&lt;&gt;0,0,NSTonghop!AB71)</f>
        <v>A/08/Giỏi</v>
      </c>
      <c r="AC71" s="128">
        <f>IF(NSTonghop!$E71&lt;&gt;0,0,NSTonghop!AC71)</f>
        <v>0</v>
      </c>
      <c r="AD71" s="128">
        <f>IF(NSTonghop!$E71&lt;&gt;0,0,NSTonghop!AD71)</f>
        <v>0</v>
      </c>
      <c r="AE71" s="128">
        <f>IF(NSTonghop!$E71&lt;&gt;0,0,NSTonghop!AE71)</f>
        <v>0</v>
      </c>
      <c r="AF71" s="128">
        <f>IF(NSTonghop!$E71&lt;&gt;0,0,NSTonghop!AF71)</f>
        <v>0</v>
      </c>
      <c r="AG71" s="128" t="str">
        <f>IF(NSTonghop!$E71&lt;&gt;0,0,NSTonghop!AG71)</f>
        <v>V.07.04.11</v>
      </c>
      <c r="AH71" s="128" t="str">
        <f>IF(NSTonghop!$E71&lt;&gt;0,0,NSTonghop!AH71)</f>
        <v>CN/15/Giỏi</v>
      </c>
      <c r="AI71" s="128">
        <f>IF(NSTonghop!$E71&lt;&gt;0,0,NSTonghop!AI71)</f>
        <v>5099036036</v>
      </c>
      <c r="AJ71" s="128">
        <f>IF(NSTonghop!$E71&lt;&gt;0,0,NSTonghop!AJ71)</f>
        <v>351291017</v>
      </c>
      <c r="AK71" s="128" t="str">
        <f>IF(NSTonghop!$E71&lt;&gt;0,0,NSTonghop!AK71)</f>
        <v>12/03/2012</v>
      </c>
      <c r="AL71" s="128" t="str">
        <f>IF(NSTonghop!$E71&lt;&gt;0,0,NSTonghop!AL71)</f>
        <v>01/09/1999</v>
      </c>
      <c r="AM71" s="128" t="str">
        <f>IF(NSTonghop!$E71&lt;&gt;0,0,NSTonghop!AM71)</f>
        <v>01/09/1999</v>
      </c>
      <c r="AN71" s="128" t="str">
        <f>IF(NSTonghop!$E71&lt;&gt;0,0,NSTonghop!AN71)</f>
        <v>01/04/2000</v>
      </c>
      <c r="AO71" s="128">
        <f>IF(NSTonghop!$E71&lt;&gt;0,0,NSTonghop!AO71)</f>
        <v>0</v>
      </c>
      <c r="AP71" s="128">
        <f>IF(NSTonghop!$E71&lt;&gt;0,0,NSTonghop!AP71)</f>
        <v>0</v>
      </c>
      <c r="AQ71" s="128" t="str">
        <f>IF(NSTonghop!$E71&lt;&gt;0,0,NSTonghop!AQ71)</f>
        <v/>
      </c>
      <c r="AR71" s="128">
        <f>IF(NSTonghop!$E71&lt;&gt;0,0,NSTonghop!AR71)</f>
        <v>0</v>
      </c>
      <c r="AS71" s="128">
        <f>IF(NSTonghop!$E71&lt;&gt;0,0,NSTonghop!AS71)</f>
        <v>0</v>
      </c>
      <c r="AT71" s="128" t="str">
        <f>IF(NSTonghop!$E71&lt;&gt;0,0,NSTonghop!AT71)</f>
        <v>0394504350</v>
      </c>
      <c r="AU71" s="212"/>
    </row>
    <row r="72" spans="1:47" s="118" customFormat="1" x14ac:dyDescent="0.25">
      <c r="A72" s="220"/>
      <c r="B72" s="128">
        <f>IF(F72&lt;&gt;0,MAX($B$8:B71)+1,"")</f>
        <v>55</v>
      </c>
      <c r="C72" s="132">
        <f>IF(F72=0,0,MAX($C$67:C71)+1)</f>
        <v>6</v>
      </c>
      <c r="D72" s="441">
        <f>IF(NSTonghop!$E72&lt;&gt;0,0,NSTonghop!D72)</f>
        <v>25232</v>
      </c>
      <c r="E72" s="128">
        <f>IF(NSTonghop!E72&lt;&gt;0,0,0)</f>
        <v>0</v>
      </c>
      <c r="F72" s="128" t="str">
        <f>IF(NSTonghop!$E72&lt;&gt;0,0,NSTonghop!F72)</f>
        <v>Lê Thị Kim Thảo</v>
      </c>
      <c r="G72" s="128" t="str">
        <f>IF(NSTonghop!$E72&lt;&gt;0,0,NSTonghop!G72)</f>
        <v>x</v>
      </c>
      <c r="H72" s="128">
        <f>IF(NSTonghop!$E72&lt;&gt;0,0,NSTonghop!H72)</f>
        <v>0</v>
      </c>
      <c r="I72" s="128" t="str">
        <f>IF(NSTonghop!$E72&lt;&gt;0,0,NSTonghop!I72)</f>
        <v>01/10/1982</v>
      </c>
      <c r="J72" s="128">
        <f>IF(NSTonghop!$E72&lt;&gt;0,0,NSTonghop!J72)</f>
        <v>0</v>
      </c>
      <c r="K72" s="128">
        <f>IF(NSTonghop!$E72&lt;&gt;0,0,NSTonghop!K72)</f>
        <v>1982</v>
      </c>
      <c r="L72" s="128" t="str">
        <f>IF(NSTonghop!$E72&lt;&gt;0,0,NSTonghop!L72)</f>
        <v>GV</v>
      </c>
      <c r="M72" s="128">
        <f>IF(NSTonghop!$E72&lt;&gt;0,0,NSTonghop!M72)</f>
        <v>0</v>
      </c>
      <c r="N72" s="128" t="str">
        <f>IF(NSTonghop!$E72&lt;&gt;0,0,NSTonghop!N72)</f>
        <v>Phật</v>
      </c>
      <c r="O72" s="128" t="str">
        <f>IF(NSTonghop!$E72&lt;&gt;0,0,NSTonghop!O72)</f>
        <v>Nông dân</v>
      </c>
      <c r="P72" s="128" t="str">
        <f>IF(NSTonghop!$E72&lt;&gt;0,0,NSTonghop!P72)</f>
        <v>Bình Mỹ-An Giang</v>
      </c>
      <c r="Q72" s="128" t="str">
        <f>IF(NSTonghop!$E72&lt;&gt;0,0,NSTonghop!Q72)</f>
        <v>Bình Mỹ-Châu Phú</v>
      </c>
      <c r="R72" s="128" t="str">
        <f>IF(NSTonghop!$E72&lt;&gt;0,0,NSTonghop!R72)</f>
        <v>736/22 Bình Hưng 1-Bình Mỹ</v>
      </c>
      <c r="S72" s="128" t="str">
        <f>IF(NSTonghop!$E72&lt;&gt;0,0,NSTonghop!S72)</f>
        <v>PTTH/00/TB</v>
      </c>
      <c r="T72" s="128" t="str">
        <f>IF(NSTonghop!$E72&lt;&gt;0,0,NSTonghop!T72)</f>
        <v>CĐ3/Lý-KTCN/04/Khá</v>
      </c>
      <c r="U72" s="128" t="str">
        <f>IF(NSTonghop!$E72&lt;&gt;0,0,NSTonghop!U72)</f>
        <v>ĐHTX/Lý/08/TBK</v>
      </c>
      <c r="V72" s="128">
        <f>IF(NSTonghop!$E72&lt;&gt;0,0,NSTonghop!V72)</f>
        <v>0</v>
      </c>
      <c r="W72" s="128" t="str">
        <f>IF(NSTonghop!$E72&lt;&gt;0,0,NSTonghop!W72)</f>
        <v>ĐHTX</v>
      </c>
      <c r="X72" s="128" t="str">
        <f>IF(NSTonghop!$E72&lt;&gt;0,0,NSTonghop!X72)</f>
        <v>Lý</v>
      </c>
      <c r="Y72" s="128" t="str">
        <f>IF(NSTonghop!$E72&lt;&gt;0,0,NSTonghop!Y72)</f>
        <v>CNCN</v>
      </c>
      <c r="Z72" s="128">
        <f>IF(NSTonghop!$E72&lt;&gt;0,0,NSTonghop!Z72)</f>
        <v>0</v>
      </c>
      <c r="AA72" s="128">
        <f>IF(NSTonghop!$E72&lt;&gt;0,0,NSTonghop!AA72)</f>
        <v>0</v>
      </c>
      <c r="AB72" s="128" t="str">
        <f>IF(NSTonghop!$E72&lt;&gt;0,0,NSTonghop!AB72)</f>
        <v>A/08/Giỏi</v>
      </c>
      <c r="AC72" s="128" t="str">
        <f>IF(NSTonghop!$E72&lt;&gt;0,0,NSTonghop!AC72)</f>
        <v>A/Anh/07/TB</v>
      </c>
      <c r="AD72" s="128">
        <f>IF(NSTonghop!$E72&lt;&gt;0,0,NSTonghop!AD72)</f>
        <v>0</v>
      </c>
      <c r="AE72" s="128">
        <f>IF(NSTonghop!$E72&lt;&gt;0,0,NSTonghop!AE72)</f>
        <v>0</v>
      </c>
      <c r="AF72" s="128">
        <f>IF(NSTonghop!$E72&lt;&gt;0,0,NSTonghop!AF72)</f>
        <v>0</v>
      </c>
      <c r="AG72" s="128" t="str">
        <f>IF(NSTonghop!$E72&lt;&gt;0,0,NSTonghop!AG72)</f>
        <v>V.07.04.11</v>
      </c>
      <c r="AH72" s="128" t="str">
        <f>IF(NSTonghop!$E72&lt;&gt;0,0,NSTonghop!AH72)</f>
        <v>CN/05/Giỏi</v>
      </c>
      <c r="AI72" s="128">
        <f>IF(NSTonghop!$E72&lt;&gt;0,0,NSTonghop!AI72)</f>
        <v>5006003477</v>
      </c>
      <c r="AJ72" s="128">
        <f>IF(NSTonghop!$E72&lt;&gt;0,0,NSTonghop!AJ72)</f>
        <v>351468093</v>
      </c>
      <c r="AK72" s="128" t="str">
        <f>IF(NSTonghop!$E72&lt;&gt;0,0,NSTonghop!AK72)</f>
        <v>11/06/2016</v>
      </c>
      <c r="AL72" s="128" t="str">
        <f>IF(NSTonghop!$E72&lt;&gt;0,0,NSTonghop!AL72)</f>
        <v>01/09/2004</v>
      </c>
      <c r="AM72" s="128" t="str">
        <f>IF(NSTonghop!$E72&lt;&gt;0,0,NSTonghop!AM72)</f>
        <v>01/09/2004</v>
      </c>
      <c r="AN72" s="128" t="str">
        <f>IF(NSTonghop!$E72&lt;&gt;0,0,NSTonghop!AN72)</f>
        <v>01/03/2005</v>
      </c>
      <c r="AO72" s="128">
        <f>IF(NSTonghop!$E72&lt;&gt;0,0,NSTonghop!AO72)</f>
        <v>0</v>
      </c>
      <c r="AP72" s="128">
        <f>IF(NSTonghop!$E72&lt;&gt;0,0,NSTonghop!AP72)</f>
        <v>0</v>
      </c>
      <c r="AQ72" s="128" t="str">
        <f>IF(NSTonghop!$E72&lt;&gt;0,0,NSTonghop!AQ72)</f>
        <v/>
      </c>
      <c r="AR72" s="128">
        <f>IF(NSTonghop!$E72&lt;&gt;0,0,NSTonghop!AR72)</f>
        <v>0</v>
      </c>
      <c r="AS72" s="128">
        <f>IF(NSTonghop!$E72&lt;&gt;0,0,NSTonghop!AS72)</f>
        <v>0</v>
      </c>
      <c r="AT72" s="128" t="str">
        <f>IF(NSTonghop!$E72&lt;&gt;0,0,NSTonghop!AT72)</f>
        <v>0798436683</v>
      </c>
      <c r="AU72" s="212"/>
    </row>
    <row r="73" spans="1:47" s="118" customFormat="1" x14ac:dyDescent="0.25">
      <c r="A73" s="220"/>
      <c r="B73" s="225">
        <f>IF(F73&lt;&gt;0,MAX($B$8:B72)+1,"")</f>
        <v>56</v>
      </c>
      <c r="C73" s="132">
        <f>IF(F73=0,0,MAX($C$67:C72)+1)</f>
        <v>7</v>
      </c>
      <c r="D73" s="441">
        <f>IF(NSTonghop!$E73&lt;&gt;0,0,NSTonghop!D73)</f>
        <v>17429</v>
      </c>
      <c r="E73" s="128">
        <f>IF(NSTonghop!E73&lt;&gt;0,0,0)</f>
        <v>0</v>
      </c>
      <c r="F73" s="128" t="str">
        <f>IF(NSTonghop!$E73&lt;&gt;0,0,NSTonghop!F73)</f>
        <v>Lê Nguyên Khiêm</v>
      </c>
      <c r="G73" s="128">
        <f>IF(NSTonghop!$E73&lt;&gt;0,0,NSTonghop!G73)</f>
        <v>0</v>
      </c>
      <c r="H73" s="128" t="str">
        <f>IF(NSTonghop!$E73&lt;&gt;0,0,NSTonghop!H73)</f>
        <v>24/08/1978</v>
      </c>
      <c r="I73" s="128">
        <f>IF(NSTonghop!$E73&lt;&gt;0,0,NSTonghop!I73)</f>
        <v>0</v>
      </c>
      <c r="J73" s="128">
        <f>IF(NSTonghop!$E73&lt;&gt;0,0,NSTonghop!J73)</f>
        <v>1978</v>
      </c>
      <c r="K73" s="128">
        <f>IF(NSTonghop!$E73&lt;&gt;0,0,NSTonghop!K73)</f>
        <v>0</v>
      </c>
      <c r="L73" s="128" t="str">
        <f>IF(NSTonghop!$E73&lt;&gt;0,0,NSTonghop!L73)</f>
        <v>GV</v>
      </c>
      <c r="M73" s="128">
        <f>IF(NSTonghop!$E73&lt;&gt;0,0,NSTonghop!M73)</f>
        <v>0</v>
      </c>
      <c r="N73" s="128" t="str">
        <f>IF(NSTonghop!$E73&lt;&gt;0,0,NSTonghop!N73)</f>
        <v>x</v>
      </c>
      <c r="O73" s="128" t="str">
        <f>IF(NSTonghop!$E73&lt;&gt;0,0,NSTonghop!O73)</f>
        <v>Nông dân</v>
      </c>
      <c r="P73" s="128" t="str">
        <f>IF(NSTonghop!$E73&lt;&gt;0,0,NSTonghop!P73)</f>
        <v>Bình Long-An Giang</v>
      </c>
      <c r="Q73" s="128" t="str">
        <f>IF(NSTonghop!$E73&lt;&gt;0,0,NSTonghop!Q73)</f>
        <v>Bình Long-Châu Phú</v>
      </c>
      <c r="R73" s="128" t="str">
        <f>IF(NSTonghop!$E73&lt;&gt;0,0,NSTonghop!R73)</f>
        <v>93/01 Bình Hưng-Bình Long</v>
      </c>
      <c r="S73" s="128" t="str">
        <f>IF(NSTonghop!$E73&lt;&gt;0,0,NSTonghop!S73)</f>
        <v>PTTH/96/TB</v>
      </c>
      <c r="T73" s="128" t="str">
        <f>IF(NSTonghop!$E73&lt;&gt;0,0,NSTonghop!T73)</f>
        <v>CĐ3/Hóa-Địa/00/TB</v>
      </c>
      <c r="U73" s="128" t="str">
        <f>IF(NSTonghop!$E73&lt;&gt;0,0,NSTonghop!U73)</f>
        <v>ĐHTX/Hóa/04/Khá</v>
      </c>
      <c r="V73" s="128">
        <f>IF(NSTonghop!$E73&lt;&gt;0,0,NSTonghop!V73)</f>
        <v>0</v>
      </c>
      <c r="W73" s="128" t="str">
        <f>IF(NSTonghop!$E73&lt;&gt;0,0,NSTonghop!W73)</f>
        <v>ĐHTX</v>
      </c>
      <c r="X73" s="128" t="str">
        <f>IF(NSTonghop!$E73&lt;&gt;0,0,NSTonghop!X73)</f>
        <v>Hóa-Địa</v>
      </c>
      <c r="Y73" s="128" t="str">
        <f>IF(NSTonghop!$E73&lt;&gt;0,0,NSTonghop!Y73)</f>
        <v>Hóa-Địa</v>
      </c>
      <c r="Z73" s="128">
        <f>IF(NSTonghop!$E73&lt;&gt;0,0,NSTonghop!Z73)</f>
        <v>0</v>
      </c>
      <c r="AA73" s="128">
        <f>IF(NSTonghop!$E73&lt;&gt;0,0,NSTonghop!AA73)</f>
        <v>0</v>
      </c>
      <c r="AB73" s="128" t="str">
        <f>IF(NSTonghop!$E73&lt;&gt;0,0,NSTonghop!AB73)</f>
        <v>A/07/Giỏi</v>
      </c>
      <c r="AC73" s="128">
        <f>IF(NSTonghop!$E73&lt;&gt;0,0,NSTonghop!AC73)</f>
        <v>0</v>
      </c>
      <c r="AD73" s="128">
        <f>IF(NSTonghop!$E73&lt;&gt;0,0,NSTonghop!AD73)</f>
        <v>0</v>
      </c>
      <c r="AE73" s="128">
        <f>IF(NSTonghop!$E73&lt;&gt;0,0,NSTonghop!AE73)</f>
        <v>0</v>
      </c>
      <c r="AF73" s="128">
        <f>IF(NSTonghop!$E73&lt;&gt;0,0,NSTonghop!AF73)</f>
        <v>0</v>
      </c>
      <c r="AG73" s="128" t="str">
        <f>IF(NSTonghop!$E73&lt;&gt;0,0,NSTonghop!AG73)</f>
        <v>V.07.04.11</v>
      </c>
      <c r="AH73" s="128" t="str">
        <f>IF(NSTonghop!$E73&lt;&gt;0,0,NSTonghop!AH73)</f>
        <v>CN/06/Khá</v>
      </c>
      <c r="AI73" s="128">
        <f>IF(NSTonghop!$E73&lt;&gt;0,0,NSTonghop!AI73)</f>
        <v>5099037056</v>
      </c>
      <c r="AJ73" s="128">
        <f>IF(NSTonghop!$E73&lt;&gt;0,0,NSTonghop!AJ73)</f>
        <v>351284587</v>
      </c>
      <c r="AK73" s="128" t="str">
        <f>IF(NSTonghop!$E73&lt;&gt;0,0,NSTonghop!AK73)</f>
        <v>20/11/2011</v>
      </c>
      <c r="AL73" s="128" t="str">
        <f>IF(NSTonghop!$E73&lt;&gt;0,0,NSTonghop!AL73)</f>
        <v>16/09/2000</v>
      </c>
      <c r="AM73" s="128" t="str">
        <f>IF(NSTonghop!$E73&lt;&gt;0,0,NSTonghop!AM73)</f>
        <v>11/10/2005</v>
      </c>
      <c r="AN73" s="128" t="str">
        <f>IF(NSTonghop!$E73&lt;&gt;0,0,NSTonghop!AN73)</f>
        <v>01/04/2001</v>
      </c>
      <c r="AO73" s="128">
        <f>IF(NSTonghop!$E73&lt;&gt;0,0,NSTonghop!AO73)</f>
        <v>0</v>
      </c>
      <c r="AP73" s="128">
        <f>IF(NSTonghop!$E73&lt;&gt;0,0,NSTonghop!AP73)</f>
        <v>0</v>
      </c>
      <c r="AQ73" s="128" t="str">
        <f>IF(NSTonghop!$E73&lt;&gt;0,0,NSTonghop!AQ73)</f>
        <v/>
      </c>
      <c r="AR73" s="128">
        <f>IF(NSTonghop!$E73&lt;&gt;0,0,NSTonghop!AR73)</f>
        <v>0</v>
      </c>
      <c r="AS73" s="128">
        <f>IF(NSTonghop!$E73&lt;&gt;0,0,NSTonghop!AS73)</f>
        <v>0</v>
      </c>
      <c r="AT73" s="128" t="str">
        <f>IF(NSTonghop!$E73&lt;&gt;0,0,NSTonghop!AT73)</f>
        <v>0977225109</v>
      </c>
      <c r="AU73" s="212"/>
    </row>
    <row r="74" spans="1:47" s="118" customFormat="1" x14ac:dyDescent="0.25">
      <c r="A74" s="220"/>
      <c r="B74" s="128">
        <f>IF(F74&lt;&gt;0,MAX($B$8:B73)+1,"")</f>
        <v>57</v>
      </c>
      <c r="C74" s="132">
        <f>IF(F74=0,0,MAX($C$67:C73)+1)</f>
        <v>8</v>
      </c>
      <c r="D74" s="441" t="str">
        <f>IF(NSTonghop!$E74&lt;&gt;0,0,NSTonghop!D74)</f>
        <v>x</v>
      </c>
      <c r="E74" s="128">
        <f>IF(NSTonghop!E74&lt;&gt;0,0,0)</f>
        <v>0</v>
      </c>
      <c r="F74" s="128" t="str">
        <f>IF(NSTonghop!$E74&lt;&gt;0,0,NSTonghop!F74)</f>
        <v>Trịnh Thị Thanh Trúc</v>
      </c>
      <c r="G74" s="128" t="str">
        <f>IF(NSTonghop!$E74&lt;&gt;0,0,NSTonghop!G74)</f>
        <v>x</v>
      </c>
      <c r="H74" s="128">
        <f>IF(NSTonghop!$E74&lt;&gt;0,0,NSTonghop!H74)</f>
        <v>0</v>
      </c>
      <c r="I74" s="128" t="str">
        <f>IF(NSTonghop!$E74&lt;&gt;0,0,NSTonghop!I74)</f>
        <v>24/07/1978</v>
      </c>
      <c r="J74" s="128">
        <f>IF(NSTonghop!$E74&lt;&gt;0,0,NSTonghop!J74)</f>
        <v>0</v>
      </c>
      <c r="K74" s="128">
        <f>IF(NSTonghop!$E74&lt;&gt;0,0,NSTonghop!K74)</f>
        <v>1978</v>
      </c>
      <c r="L74" s="128" t="str">
        <f>IF(NSTonghop!$E74&lt;&gt;0,0,NSTonghop!L74)</f>
        <v>GV</v>
      </c>
      <c r="M74" s="128">
        <f>IF(NSTonghop!$E74&lt;&gt;0,0,NSTonghop!M74)</f>
        <v>0</v>
      </c>
      <c r="N74" s="128" t="str">
        <f>IF(NSTonghop!$E74&lt;&gt;0,0,NSTonghop!N74)</f>
        <v>x</v>
      </c>
      <c r="O74" s="128" t="str">
        <f>IF(NSTonghop!$E74&lt;&gt;0,0,NSTonghop!O74)</f>
        <v>Tiểu thương</v>
      </c>
      <c r="P74" s="128" t="str">
        <f>IF(NSTonghop!$E74&lt;&gt;0,0,NSTonghop!P74)</f>
        <v>Châu Phú B-AG</v>
      </c>
      <c r="Q74" s="128" t="str">
        <f>IF(NSTonghop!$E74&lt;&gt;0,0,NSTonghop!Q74)</f>
        <v>Châu Phú B-Châu Đốc</v>
      </c>
      <c r="R74" s="128" t="str">
        <f>IF(NSTonghop!$E74&lt;&gt;0,0,NSTonghop!R74)</f>
        <v>82/5 Bình Chánh-Bình Long</v>
      </c>
      <c r="S74" s="128" t="str">
        <f>IF(NSTonghop!$E74&lt;&gt;0,0,NSTonghop!S74)</f>
        <v>PTTH/97/TB</v>
      </c>
      <c r="T74" s="128" t="str">
        <f>IF(NSTonghop!$E74&lt;&gt;0,0,NSTonghop!T74)</f>
        <v>CĐ3/Hóa-Sinh/01/TBK</v>
      </c>
      <c r="U74" s="128" t="str">
        <f>IF(NSTonghop!$E74&lt;&gt;0,0,NSTonghop!U74)</f>
        <v>ĐHTX/Hóa/07/Khá</v>
      </c>
      <c r="V74" s="128">
        <f>IF(NSTonghop!$E74&lt;&gt;0,0,NSTonghop!V74)</f>
        <v>0</v>
      </c>
      <c r="W74" s="128" t="str">
        <f>IF(NSTonghop!$E74&lt;&gt;0,0,NSTonghop!W74)</f>
        <v>ĐHTX</v>
      </c>
      <c r="X74" s="128" t="str">
        <f>IF(NSTonghop!$E74&lt;&gt;0,0,NSTonghop!X74)</f>
        <v>Hóa</v>
      </c>
      <c r="Y74" s="128" t="str">
        <f>IF(NSTonghop!$E74&lt;&gt;0,0,NSTonghop!Y74)</f>
        <v>Hóa</v>
      </c>
      <c r="Z74" s="128">
        <f>IF(NSTonghop!$E74&lt;&gt;0,0,NSTonghop!Z74)</f>
        <v>0</v>
      </c>
      <c r="AA74" s="128">
        <f>IF(NSTonghop!$E74&lt;&gt;0,0,NSTonghop!AA74)</f>
        <v>0</v>
      </c>
      <c r="AB74" s="128" t="str">
        <f>IF(NSTonghop!$E74&lt;&gt;0,0,NSTonghop!AB74)</f>
        <v>A/05/Khá</v>
      </c>
      <c r="AC74" s="128" t="str">
        <f>IF(NSTonghop!$E74&lt;&gt;0,0,NSTonghop!AC74)</f>
        <v>B/Anh/08/TB</v>
      </c>
      <c r="AD74" s="128">
        <f>IF(NSTonghop!$E74&lt;&gt;0,0,NSTonghop!AD74)</f>
        <v>0</v>
      </c>
      <c r="AE74" s="128">
        <f>IF(NSTonghop!$E74&lt;&gt;0,0,NSTonghop!AE74)</f>
        <v>0</v>
      </c>
      <c r="AF74" s="128">
        <f>IF(NSTonghop!$E74&lt;&gt;0,0,NSTonghop!AF74)</f>
        <v>0</v>
      </c>
      <c r="AG74" s="128" t="str">
        <f>IF(NSTonghop!$E74&lt;&gt;0,0,NSTonghop!AG74)</f>
        <v>V.07.04.11</v>
      </c>
      <c r="AH74" s="128" t="str">
        <f>IF(NSTonghop!$E74&lt;&gt;0,0,NSTonghop!AH74)</f>
        <v>CN/18/Khá</v>
      </c>
      <c r="AI74" s="128">
        <f>IF(NSTonghop!$E74&lt;&gt;0,0,NSTonghop!AI74)</f>
        <v>5002002318</v>
      </c>
      <c r="AJ74" s="128">
        <f>IF(NSTonghop!$E74&lt;&gt;0,0,NSTonghop!AJ74)</f>
        <v>351174475</v>
      </c>
      <c r="AK74" s="128" t="str">
        <f>IF(NSTonghop!$E74&lt;&gt;0,0,NSTonghop!AK74)</f>
        <v>16/06/2016</v>
      </c>
      <c r="AL74" s="128" t="str">
        <f>IF(NSTonghop!$E74&lt;&gt;0,0,NSTonghop!AL74)</f>
        <v>01/09/2001</v>
      </c>
      <c r="AM74" s="128" t="str">
        <f>IF(NSTonghop!$E74&lt;&gt;0,0,NSTonghop!AM74)</f>
        <v>01/07/2013</v>
      </c>
      <c r="AN74" s="128" t="str">
        <f>IF(NSTonghop!$E74&lt;&gt;0,0,NSTonghop!AN74)</f>
        <v>01/03/2002</v>
      </c>
      <c r="AO74" s="128" t="str">
        <f>IF(NSTonghop!$E74&lt;&gt;0,0,NSTonghop!AO74)</f>
        <v>30/12/2006</v>
      </c>
      <c r="AP74" s="128" t="str">
        <f>IF(NSTonghop!$E74&lt;&gt;0,0,NSTonghop!AP74)</f>
        <v>31.031 684</v>
      </c>
      <c r="AQ74" s="128">
        <f>IF(NSTonghop!$E74&lt;&gt;0,0,NSTonghop!AQ74)</f>
        <v>2006</v>
      </c>
      <c r="AR74" s="128" t="str">
        <f>IF(NSTonghop!$E74&lt;&gt;0,0,NSTonghop!AR74)</f>
        <v>26/3/1997</v>
      </c>
      <c r="AS74" s="128">
        <f>IF(NSTonghop!$E74&lt;&gt;0,0,NSTonghop!AS74)</f>
        <v>0</v>
      </c>
      <c r="AT74" s="128" t="str">
        <f>IF(NSTonghop!$E74&lt;&gt;0,0,NSTonghop!AT74)</f>
        <v>0756957121</v>
      </c>
      <c r="AU74" s="212"/>
    </row>
    <row r="75" spans="1:47" s="118" customFormat="1" x14ac:dyDescent="0.25">
      <c r="A75" s="220"/>
      <c r="B75" s="128">
        <f>IF(F75&lt;&gt;0,MAX($B$8:B74)+1,"")</f>
        <v>58</v>
      </c>
      <c r="C75" s="132">
        <f>IF(F75=0,0,MAX($C$67:C74)+1)</f>
        <v>9</v>
      </c>
      <c r="D75" s="441">
        <f>IF(NSTonghop!$E75&lt;&gt;0,0,NSTonghop!D75)</f>
        <v>1214</v>
      </c>
      <c r="E75" s="128">
        <f>IF(NSTonghop!E75&lt;&gt;0,0,0)</f>
        <v>0</v>
      </c>
      <c r="F75" s="128" t="str">
        <f>IF(NSTonghop!$E75&lt;&gt;0,0,NSTonghop!F75)</f>
        <v>Huỳnh Văn Phước</v>
      </c>
      <c r="G75" s="128">
        <f>IF(NSTonghop!$E75&lt;&gt;0,0,NSTonghop!G75)</f>
        <v>0</v>
      </c>
      <c r="H75" s="128" t="str">
        <f>IF(NSTonghop!$E75&lt;&gt;0,0,NSTonghop!H75)</f>
        <v>10/01/1964</v>
      </c>
      <c r="I75" s="128">
        <f>IF(NSTonghop!$E75&lt;&gt;0,0,NSTonghop!I75)</f>
        <v>0</v>
      </c>
      <c r="J75" s="128">
        <f>IF(NSTonghop!$E75&lt;&gt;0,0,NSTonghop!J75)</f>
        <v>1964</v>
      </c>
      <c r="K75" s="128">
        <f>IF(NSTonghop!$E75&lt;&gt;0,0,NSTonghop!K75)</f>
        <v>0</v>
      </c>
      <c r="L75" s="128" t="str">
        <f>IF(NSTonghop!$E75&lt;&gt;0,0,NSTonghop!L75)</f>
        <v>GV</v>
      </c>
      <c r="M75" s="128">
        <f>IF(NSTonghop!$E75&lt;&gt;0,0,NSTonghop!M75)</f>
        <v>0</v>
      </c>
      <c r="N75" s="128" t="str">
        <f>IF(NSTonghop!$E75&lt;&gt;0,0,NSTonghop!N75)</f>
        <v>Phật</v>
      </c>
      <c r="O75" s="128" t="str">
        <f>IF(NSTonghop!$E75&lt;&gt;0,0,NSTonghop!O75)</f>
        <v>Nông dân</v>
      </c>
      <c r="P75" s="128" t="str">
        <f>IF(NSTonghop!$E75&lt;&gt;0,0,NSTonghop!P75)</f>
        <v>Lạc Quới-Châu Đốc</v>
      </c>
      <c r="Q75" s="128" t="str">
        <f>IF(NSTonghop!$E75&lt;&gt;0,0,NSTonghop!Q75)</f>
        <v>Lạc Quới-Tịnh Biên</v>
      </c>
      <c r="R75" s="128" t="str">
        <f>IF(NSTonghop!$E75&lt;&gt;0,0,NSTonghop!R75)</f>
        <v>Vĩnh Quí-VTT</v>
      </c>
      <c r="S75" s="128" t="str">
        <f>IF(NSTonghop!$E75&lt;&gt;0,0,NSTonghop!S75)</f>
        <v>PTTH/84/TB</v>
      </c>
      <c r="T75" s="128" t="str">
        <f>IF(NSTonghop!$E75&lt;&gt;0,0,NSTonghop!T75)</f>
        <v>CĐ3/Sinh-KTNN/87/TB</v>
      </c>
      <c r="U75" s="128" t="str">
        <f>IF(NSTonghop!$E75&lt;&gt;0,0,NSTonghop!U75)</f>
        <v>ĐHTX/Sinh/00/TB</v>
      </c>
      <c r="V75" s="128">
        <f>IF(NSTonghop!$E75&lt;&gt;0,0,NSTonghop!V75)</f>
        <v>0</v>
      </c>
      <c r="W75" s="128" t="str">
        <f>IF(NSTonghop!$E75&lt;&gt;0,0,NSTonghop!W75)</f>
        <v>ĐHTX</v>
      </c>
      <c r="X75" s="128" t="str">
        <f>IF(NSTonghop!$E75&lt;&gt;0,0,NSTonghop!X75)</f>
        <v>Sinh</v>
      </c>
      <c r="Y75" s="128" t="str">
        <f>IF(NSTonghop!$E75&lt;&gt;0,0,NSTonghop!Y75)</f>
        <v>CNNN</v>
      </c>
      <c r="Z75" s="128">
        <f>IF(NSTonghop!$E75&lt;&gt;0,0,NSTonghop!Z75)</f>
        <v>0</v>
      </c>
      <c r="AA75" s="128">
        <f>IF(NSTonghop!$E75&lt;&gt;0,0,NSTonghop!AA75)</f>
        <v>0</v>
      </c>
      <c r="AB75" s="128">
        <f>IF(NSTonghop!$E75&lt;&gt;0,0,NSTonghop!AB75)</f>
        <v>0</v>
      </c>
      <c r="AC75" s="128">
        <f>IF(NSTonghop!$E75&lt;&gt;0,0,NSTonghop!AC75)</f>
        <v>0</v>
      </c>
      <c r="AD75" s="128">
        <f>IF(NSTonghop!$E75&lt;&gt;0,0,NSTonghop!AD75)</f>
        <v>0</v>
      </c>
      <c r="AE75" s="128">
        <f>IF(NSTonghop!$E75&lt;&gt;0,0,NSTonghop!AE75)</f>
        <v>0</v>
      </c>
      <c r="AF75" s="128">
        <f>IF(NSTonghop!$E75&lt;&gt;0,0,NSTonghop!AF75)</f>
        <v>0</v>
      </c>
      <c r="AG75" s="128" t="str">
        <f>IF(NSTonghop!$E75&lt;&gt;0,0,NSTonghop!AG75)</f>
        <v>V.07.04.11</v>
      </c>
      <c r="AH75" s="128">
        <f>IF(NSTonghop!$E75&lt;&gt;0,0,NSTonghop!AH75)</f>
        <v>0</v>
      </c>
      <c r="AI75" s="128">
        <f>IF(NSTonghop!$E75&lt;&gt;0,0,NSTonghop!AI75)</f>
        <v>5096017226</v>
      </c>
      <c r="AJ75" s="128">
        <f>IF(NSTonghop!$E75&lt;&gt;0,0,NSTonghop!AJ75)</f>
        <v>351319107</v>
      </c>
      <c r="AK75" s="128" t="str">
        <f>IF(NSTonghop!$E75&lt;&gt;0,0,NSTonghop!AK75)</f>
        <v>05/03/2012</v>
      </c>
      <c r="AL75" s="128" t="str">
        <f>IF(NSTonghop!$E75&lt;&gt;0,0,NSTonghop!AL75)</f>
        <v>01/09/1987</v>
      </c>
      <c r="AM75" s="128" t="str">
        <f>IF(NSTonghop!$E75&lt;&gt;0,0,NSTonghop!AM75)</f>
        <v>10/09/1987</v>
      </c>
      <c r="AN75" s="128" t="str">
        <f>IF(NSTonghop!$E75&lt;&gt;0,0,NSTonghop!AN75)</f>
        <v xml:space="preserve">  </v>
      </c>
      <c r="AO75" s="128">
        <f>IF(NSTonghop!$E75&lt;&gt;0,0,NSTonghop!AO75)</f>
        <v>0</v>
      </c>
      <c r="AP75" s="128">
        <f>IF(NSTonghop!$E75&lt;&gt;0,0,NSTonghop!AP75)</f>
        <v>0</v>
      </c>
      <c r="AQ75" s="128" t="str">
        <f>IF(NSTonghop!$E75&lt;&gt;0,0,NSTonghop!AQ75)</f>
        <v/>
      </c>
      <c r="AR75" s="128">
        <f>IF(NSTonghop!$E75&lt;&gt;0,0,NSTonghop!AR75)</f>
        <v>0</v>
      </c>
      <c r="AS75" s="128">
        <f>IF(NSTonghop!$E75&lt;&gt;0,0,NSTonghop!AS75)</f>
        <v>0</v>
      </c>
      <c r="AT75" s="128" t="str">
        <f>IF(NSTonghop!$E75&lt;&gt;0,0,NSTonghop!AT75)</f>
        <v>0919557527</v>
      </c>
      <c r="AU75" s="212"/>
    </row>
    <row r="76" spans="1:47" s="118" customFormat="1" x14ac:dyDescent="0.25">
      <c r="A76" s="220"/>
      <c r="B76" s="225">
        <f>IF(F76&lt;&gt;0,MAX($B$8:B75)+1,"")</f>
        <v>59</v>
      </c>
      <c r="C76" s="132">
        <f>IF(F76=0,0,MAX($C$67:C75)+1)</f>
        <v>10</v>
      </c>
      <c r="D76" s="441">
        <f>IF(NSTonghop!$E76&lt;&gt;0,0,NSTonghop!D76)</f>
        <v>1232</v>
      </c>
      <c r="E76" s="128">
        <f>IF(NSTonghop!E76&lt;&gt;0,0,0)</f>
        <v>0</v>
      </c>
      <c r="F76" s="128" t="str">
        <f>IF(NSTonghop!$E76&lt;&gt;0,0,NSTonghop!F76)</f>
        <v>Nguyễn Thị Yến Nhi</v>
      </c>
      <c r="G76" s="128" t="str">
        <f>IF(NSTonghop!$E76&lt;&gt;0,0,NSTonghop!G76)</f>
        <v>x</v>
      </c>
      <c r="H76" s="128">
        <f>IF(NSTonghop!$E76&lt;&gt;0,0,NSTonghop!H76)</f>
        <v>0</v>
      </c>
      <c r="I76" s="128" t="str">
        <f>IF(NSTonghop!$E76&lt;&gt;0,0,NSTonghop!I76)</f>
        <v>16/01/1970</v>
      </c>
      <c r="J76" s="128">
        <f>IF(NSTonghop!$E76&lt;&gt;0,0,NSTonghop!J76)</f>
        <v>0</v>
      </c>
      <c r="K76" s="128">
        <f>IF(NSTonghop!$E76&lt;&gt;0,0,NSTonghop!K76)</f>
        <v>1970</v>
      </c>
      <c r="L76" s="128" t="str">
        <f>IF(NSTonghop!$E76&lt;&gt;0,0,NSTonghop!L76)</f>
        <v>GV</v>
      </c>
      <c r="M76" s="128">
        <f>IF(NSTonghop!$E76&lt;&gt;0,0,NSTonghop!M76)</f>
        <v>0</v>
      </c>
      <c r="N76" s="128">
        <f>IF(NSTonghop!$E76&lt;&gt;0,0,NSTonghop!N76)</f>
        <v>0</v>
      </c>
      <c r="O76" s="128" t="str">
        <f>IF(NSTonghop!$E76&lt;&gt;0,0,NSTonghop!O76)</f>
        <v>Nông dân</v>
      </c>
      <c r="P76" s="128" t="str">
        <f>IF(NSTonghop!$E76&lt;&gt;0,0,NSTonghop!P76)</f>
        <v>Bình Mỹ-An Giang</v>
      </c>
      <c r="Q76" s="128" t="str">
        <f>IF(NSTonghop!$E76&lt;&gt;0,0,NSTonghop!Q76)</f>
        <v>Bình Mỹ-Châu Phú</v>
      </c>
      <c r="R76" s="128" t="str">
        <f>IF(NSTonghop!$E76&lt;&gt;0,0,NSTonghop!R76)</f>
        <v>103/5 Vĩnh Thành-Cái Dầu</v>
      </c>
      <c r="S76" s="128" t="str">
        <f>IF(NSTonghop!$E76&lt;&gt;0,0,NSTonghop!S76)</f>
        <v>PTTH/88/TB</v>
      </c>
      <c r="T76" s="128" t="str">
        <f>IF(NSTonghop!$E76&lt;&gt;0,0,NSTonghop!T76)</f>
        <v>CĐ3/Sinh-KTNN/91/TB</v>
      </c>
      <c r="U76" s="128" t="str">
        <f>IF(NSTonghop!$E76&lt;&gt;0,0,NSTonghop!U76)</f>
        <v>ĐHTX/Sinh/03/Khá</v>
      </c>
      <c r="V76" s="128">
        <f>IF(NSTonghop!$E76&lt;&gt;0,0,NSTonghop!V76)</f>
        <v>0</v>
      </c>
      <c r="W76" s="128" t="str">
        <f>IF(NSTonghop!$E76&lt;&gt;0,0,NSTonghop!W76)</f>
        <v>ĐHTX</v>
      </c>
      <c r="X76" s="128" t="str">
        <f>IF(NSTonghop!$E76&lt;&gt;0,0,NSTonghop!X76)</f>
        <v>Sinh-KTNN</v>
      </c>
      <c r="Y76" s="128" t="str">
        <f>IF(NSTonghop!$E76&lt;&gt;0,0,NSTonghop!Y76)</f>
        <v>Sinh</v>
      </c>
      <c r="Z76" s="128">
        <f>IF(NSTonghop!$E76&lt;&gt;0,0,NSTonghop!Z76)</f>
        <v>0</v>
      </c>
      <c r="AA76" s="128">
        <f>IF(NSTonghop!$E76&lt;&gt;0,0,NSTonghop!AA76)</f>
        <v>0</v>
      </c>
      <c r="AB76" s="128" t="str">
        <f>IF(NSTonghop!$E76&lt;&gt;0,0,NSTonghop!AB76)</f>
        <v>A/04/Giỏi</v>
      </c>
      <c r="AC76" s="128">
        <f>IF(NSTonghop!$E76&lt;&gt;0,0,NSTonghop!AC76)</f>
        <v>0</v>
      </c>
      <c r="AD76" s="128">
        <f>IF(NSTonghop!$E76&lt;&gt;0,0,NSTonghop!AD76)</f>
        <v>0</v>
      </c>
      <c r="AE76" s="128">
        <f>IF(NSTonghop!$E76&lt;&gt;0,0,NSTonghop!AE76)</f>
        <v>0</v>
      </c>
      <c r="AF76" s="128">
        <f>IF(NSTonghop!$E76&lt;&gt;0,0,NSTonghop!AF76)</f>
        <v>0</v>
      </c>
      <c r="AG76" s="128" t="str">
        <f>IF(NSTonghop!$E76&lt;&gt;0,0,NSTonghop!AG76)</f>
        <v>V.07.04.11</v>
      </c>
      <c r="AH76" s="128" t="str">
        <f>IF(NSTonghop!$E76&lt;&gt;0,0,NSTonghop!AH76)</f>
        <v>CN/12/Khá</v>
      </c>
      <c r="AI76" s="128">
        <f>IF(NSTonghop!$E76&lt;&gt;0,0,NSTonghop!AI76)</f>
        <v>5096017222</v>
      </c>
      <c r="AJ76" s="128">
        <f>IF(NSTonghop!$E76&lt;&gt;0,0,NSTonghop!AJ76)</f>
        <v>350862167</v>
      </c>
      <c r="AK76" s="128" t="str">
        <f>IF(NSTonghop!$E76&lt;&gt;0,0,NSTonghop!AK76)</f>
        <v>01/11/2017</v>
      </c>
      <c r="AL76" s="128" t="str">
        <f>IF(NSTonghop!$E76&lt;&gt;0,0,NSTonghop!AL76)</f>
        <v>10/12/1991</v>
      </c>
      <c r="AM76" s="128" t="str">
        <f>IF(NSTonghop!$E76&lt;&gt;0,0,NSTonghop!AM76)</f>
        <v>16/08/1995</v>
      </c>
      <c r="AN76" s="128" t="str">
        <f>IF(NSTonghop!$E76&lt;&gt;0,0,NSTonghop!AN76)</f>
        <v>01/12/1993</v>
      </c>
      <c r="AO76" s="128">
        <f>IF(NSTonghop!$E76&lt;&gt;0,0,NSTonghop!AO76)</f>
        <v>0</v>
      </c>
      <c r="AP76" s="128">
        <f>IF(NSTonghop!$E76&lt;&gt;0,0,NSTonghop!AP76)</f>
        <v>0</v>
      </c>
      <c r="AQ76" s="128" t="str">
        <f>IF(NSTonghop!$E76&lt;&gt;0,0,NSTonghop!AQ76)</f>
        <v/>
      </c>
      <c r="AR76" s="128">
        <f>IF(NSTonghop!$E76&lt;&gt;0,0,NSTonghop!AR76)</f>
        <v>0</v>
      </c>
      <c r="AS76" s="128">
        <f>IF(NSTonghop!$E76&lt;&gt;0,0,NSTonghop!AS76)</f>
        <v>0</v>
      </c>
      <c r="AT76" s="128" t="str">
        <f>IF(NSTonghop!$E76&lt;&gt;0,0,NSTonghop!AT76)</f>
        <v>0988010406</v>
      </c>
      <c r="AU76" s="212"/>
    </row>
    <row r="77" spans="1:47" s="118" customFormat="1" x14ac:dyDescent="0.25">
      <c r="A77" s="220"/>
      <c r="B77" s="225">
        <f>IF(F77&lt;&gt;0,MAX($B$8:B76)+1,"")</f>
        <v>60</v>
      </c>
      <c r="C77" s="132">
        <f>IF(F77=0,0,MAX($C$67:C76)+1)</f>
        <v>11</v>
      </c>
      <c r="D77" s="441">
        <f>IF(NSTonghop!$E77&lt;&gt;0,0,NSTonghop!D77)</f>
        <v>21103</v>
      </c>
      <c r="E77" s="128">
        <f>IF(NSTonghop!E77&lt;&gt;0,0,0)</f>
        <v>0</v>
      </c>
      <c r="F77" s="128" t="str">
        <f>IF(NSTonghop!$E77&lt;&gt;0,0,NSTonghop!F77)</f>
        <v>Nguyễn Thị Phương Mai</v>
      </c>
      <c r="G77" s="128" t="str">
        <f>IF(NSTonghop!$E77&lt;&gt;0,0,NSTonghop!G77)</f>
        <v>x</v>
      </c>
      <c r="H77" s="128">
        <f>IF(NSTonghop!$E77&lt;&gt;0,0,NSTonghop!H77)</f>
        <v>0</v>
      </c>
      <c r="I77" s="128" t="str">
        <f>IF(NSTonghop!$E77&lt;&gt;0,0,NSTonghop!I77)</f>
        <v>19/05/1981</v>
      </c>
      <c r="J77" s="128">
        <f>IF(NSTonghop!$E77&lt;&gt;0,0,NSTonghop!J77)</f>
        <v>0</v>
      </c>
      <c r="K77" s="128">
        <f>IF(NSTonghop!$E77&lt;&gt;0,0,NSTonghop!K77)</f>
        <v>1981</v>
      </c>
      <c r="L77" s="128" t="str">
        <f>IF(NSTonghop!$E77&lt;&gt;0,0,NSTonghop!L77)</f>
        <v>GV</v>
      </c>
      <c r="M77" s="128">
        <f>IF(NSTonghop!$E77&lt;&gt;0,0,NSTonghop!M77)</f>
        <v>0</v>
      </c>
      <c r="N77" s="128" t="str">
        <f>IF(NSTonghop!$E77&lt;&gt;0,0,NSTonghop!N77)</f>
        <v>Hòa Hảo</v>
      </c>
      <c r="O77" s="128" t="str">
        <f>IF(NSTonghop!$E77&lt;&gt;0,0,NSTonghop!O77)</f>
        <v>Nông dân</v>
      </c>
      <c r="P77" s="128" t="str">
        <f>IF(NSTonghop!$E77&lt;&gt;0,0,NSTonghop!P77)</f>
        <v>Cái Dầu-AG</v>
      </c>
      <c r="Q77" s="128" t="str">
        <f>IF(NSTonghop!$E77&lt;&gt;0,0,NSTonghop!Q77)</f>
        <v>Thạnh Mỹ Tây-Châu Phú</v>
      </c>
      <c r="R77" s="128" t="str">
        <f>IF(NSTonghop!$E77&lt;&gt;0,0,NSTonghop!R77)</f>
        <v>831/23 Vĩnh Hưng-VTT</v>
      </c>
      <c r="S77" s="128" t="str">
        <f>IF(NSTonghop!$E77&lt;&gt;0,0,NSTonghop!S77)</f>
        <v>PTTH/99/TB</v>
      </c>
      <c r="T77" s="128" t="str">
        <f>IF(NSTonghop!$E77&lt;&gt;0,0,NSTonghop!T77)</f>
        <v>CĐ3/Sinh-KTNN/02/TBK</v>
      </c>
      <c r="U77" s="128" t="str">
        <f>IF(NSTonghop!$E77&lt;&gt;0,0,NSTonghop!U77)</f>
        <v>ĐHTX/Sinh/08/TBK</v>
      </c>
      <c r="V77" s="128">
        <f>IF(NSTonghop!$E77&lt;&gt;0,0,NSTonghop!V77)</f>
        <v>0</v>
      </c>
      <c r="W77" s="128" t="str">
        <f>IF(NSTonghop!$E77&lt;&gt;0,0,NSTonghop!W77)</f>
        <v>ĐHTX</v>
      </c>
      <c r="X77" s="128" t="str">
        <f>IF(NSTonghop!$E77&lt;&gt;0,0,NSTonghop!X77)</f>
        <v>Sinh-KTNN</v>
      </c>
      <c r="Y77" s="128" t="str">
        <f>IF(NSTonghop!$E77&lt;&gt;0,0,NSTonghop!Y77)</f>
        <v>Sinh</v>
      </c>
      <c r="Z77" s="128">
        <f>IF(NSTonghop!$E77&lt;&gt;0,0,NSTonghop!Z77)</f>
        <v>0</v>
      </c>
      <c r="AA77" s="128" t="str">
        <f>IF(NSTonghop!$E77&lt;&gt;0,0,NSTonghop!AA77)</f>
        <v>SC/14</v>
      </c>
      <c r="AB77" s="128" t="str">
        <f>IF(NSTonghop!$E77&lt;&gt;0,0,NSTonghop!AB77)</f>
        <v>A/03/Giỏi</v>
      </c>
      <c r="AC77" s="128" t="str">
        <f>IF(NSTonghop!$E77&lt;&gt;0,0,NSTonghop!AC77)</f>
        <v>B/Anh/15/TB</v>
      </c>
      <c r="AD77" s="128">
        <f>IF(NSTonghop!$E77&lt;&gt;0,0,NSTonghop!AD77)</f>
        <v>0</v>
      </c>
      <c r="AE77" s="128">
        <f>IF(NSTonghop!$E77&lt;&gt;0,0,NSTonghop!AE77)</f>
        <v>0</v>
      </c>
      <c r="AF77" s="128">
        <f>IF(NSTonghop!$E77&lt;&gt;0,0,NSTonghop!AF77)</f>
        <v>0</v>
      </c>
      <c r="AG77" s="128" t="str">
        <f>IF(NSTonghop!$E77&lt;&gt;0,0,NSTonghop!AG77)</f>
        <v>V.07.04.11</v>
      </c>
      <c r="AH77" s="128" t="str">
        <f>IF(NSTonghop!$E77&lt;&gt;0,0,NSTonghop!AH77)</f>
        <v>CC/2009/Giỏi</v>
      </c>
      <c r="AI77" s="128">
        <f>IF(NSTonghop!$E77&lt;&gt;0,0,NSTonghop!AI77)</f>
        <v>5003000277</v>
      </c>
      <c r="AJ77" s="128">
        <f>IF(NSTonghop!$E77&lt;&gt;0,0,NSTonghop!AJ77)</f>
        <v>351421420</v>
      </c>
      <c r="AK77" s="128" t="str">
        <f>IF(NSTonghop!$E77&lt;&gt;0,0,NSTonghop!AK77)</f>
        <v>17/03/2011</v>
      </c>
      <c r="AL77" s="128" t="str">
        <f>IF(NSTonghop!$E77&lt;&gt;0,0,NSTonghop!AL77)</f>
        <v>01/09/2003</v>
      </c>
      <c r="AM77" s="128" t="str">
        <f>IF(NSTonghop!$E77&lt;&gt;0,0,NSTonghop!AM77)</f>
        <v>01/09/2002</v>
      </c>
      <c r="AN77" s="128" t="str">
        <f>IF(NSTonghop!$E77&lt;&gt;0,0,NSTonghop!AN77)</f>
        <v>01/03/2004</v>
      </c>
      <c r="AO77" s="128" t="str">
        <f>IF(NSTonghop!$E77&lt;&gt;0,0,NSTonghop!AO77)</f>
        <v>19/05/2004</v>
      </c>
      <c r="AP77" s="128" t="str">
        <f>IF(NSTonghop!$E77&lt;&gt;0,0,NSTonghop!AP77)</f>
        <v>31.026 784</v>
      </c>
      <c r="AQ77" s="128">
        <f>IF(NSTonghop!$E77&lt;&gt;0,0,NSTonghop!AQ77)</f>
        <v>2004</v>
      </c>
      <c r="AR77" s="128" t="str">
        <f>IF(NSTonghop!$E77&lt;&gt;0,0,NSTonghop!AR77)</f>
        <v>02/12/1998</v>
      </c>
      <c r="AS77" s="128">
        <f>IF(NSTonghop!$E77&lt;&gt;0,0,NSTonghop!AS77)</f>
        <v>0</v>
      </c>
      <c r="AT77" s="128" t="str">
        <f>IF(NSTonghop!$E77&lt;&gt;0,0,NSTonghop!AT77)</f>
        <v>"0973125128</v>
      </c>
      <c r="AU77" s="212"/>
    </row>
    <row r="78" spans="1:47" s="118" customFormat="1" x14ac:dyDescent="0.25">
      <c r="A78" s="220"/>
      <c r="B78" s="225">
        <f>IF(F78&lt;&gt;0,MAX($B$8:B77)+1,"")</f>
        <v>61</v>
      </c>
      <c r="C78" s="132">
        <f>IF(F78=0,0,MAX($C$67:C77)+1)</f>
        <v>12</v>
      </c>
      <c r="D78" s="441">
        <f>IF(NSTonghop!$E78&lt;&gt;0,0,NSTonghop!D78)</f>
        <v>28530</v>
      </c>
      <c r="E78" s="128">
        <f>IF(NSTonghop!E78&lt;&gt;0,0,0)</f>
        <v>0</v>
      </c>
      <c r="F78" s="128" t="str">
        <f>IF(NSTonghop!$E78&lt;&gt;0,0,NSTonghop!F78)</f>
        <v>Đoàn Thị Ghi</v>
      </c>
      <c r="G78" s="128" t="str">
        <f>IF(NSTonghop!$E78&lt;&gt;0,0,NSTonghop!G78)</f>
        <v>x</v>
      </c>
      <c r="H78" s="128">
        <f>IF(NSTonghop!$E78&lt;&gt;0,0,NSTonghop!H78)</f>
        <v>0</v>
      </c>
      <c r="I78" s="128" t="str">
        <f>IF(NSTonghop!$E78&lt;&gt;0,0,NSTonghop!I78)</f>
        <v>25/12/1981</v>
      </c>
      <c r="J78" s="128">
        <f>IF(NSTonghop!$E78&lt;&gt;0,0,NSTonghop!J78)</f>
        <v>0</v>
      </c>
      <c r="K78" s="128">
        <f>IF(NSTonghop!$E78&lt;&gt;0,0,NSTonghop!K78)</f>
        <v>1981</v>
      </c>
      <c r="L78" s="128" t="str">
        <f>IF(NSTonghop!$E78&lt;&gt;0,0,NSTonghop!L78)</f>
        <v>GV</v>
      </c>
      <c r="M78" s="128">
        <f>IF(NSTonghop!$E78&lt;&gt;0,0,NSTonghop!M78)</f>
        <v>0</v>
      </c>
      <c r="N78" s="128" t="str">
        <f>IF(NSTonghop!$E78&lt;&gt;0,0,NSTonghop!N78)</f>
        <v>Hòa Hảo</v>
      </c>
      <c r="O78" s="128" t="str">
        <f>IF(NSTonghop!$E78&lt;&gt;0,0,NSTonghop!O78)</f>
        <v>Nông dân</v>
      </c>
      <c r="P78" s="128" t="str">
        <f>IF(NSTonghop!$E78&lt;&gt;0,0,NSTonghop!P78)</f>
        <v>Mỹ Phú-AG</v>
      </c>
      <c r="Q78" s="128" t="str">
        <f>IF(NSTonghop!$E78&lt;&gt;0,0,NSTonghop!Q78)</f>
        <v>Mỹ Phú-Châu Phú</v>
      </c>
      <c r="R78" s="128" t="str">
        <f>IF(NSTonghop!$E78&lt;&gt;0,0,NSTonghop!R78)</f>
        <v>819/23 Vĩnh Hưng-VTT</v>
      </c>
      <c r="S78" s="128" t="str">
        <f>IF(NSTonghop!$E78&lt;&gt;0,0,NSTonghop!S78)</f>
        <v>PTTH/00/TB</v>
      </c>
      <c r="T78" s="128" t="str">
        <f>IF(NSTonghop!$E78&lt;&gt;0,0,NSTonghop!T78)</f>
        <v>CĐ3/Sinh-KTNN/05/Khá</v>
      </c>
      <c r="U78" s="128" t="str">
        <f>IF(NSTonghop!$E78&lt;&gt;0,0,NSTonghop!U78)</f>
        <v>ĐHTX/Sinh/10/TBK</v>
      </c>
      <c r="V78" s="128">
        <f>IF(NSTonghop!$E78&lt;&gt;0,0,NSTonghop!V78)</f>
        <v>0</v>
      </c>
      <c r="W78" s="128" t="str">
        <f>IF(NSTonghop!$E78&lt;&gt;0,0,NSTonghop!W78)</f>
        <v>ĐHTX</v>
      </c>
      <c r="X78" s="128" t="str">
        <f>IF(NSTonghop!$E78&lt;&gt;0,0,NSTonghop!X78)</f>
        <v>Sinh-KTNN</v>
      </c>
      <c r="Y78" s="128" t="str">
        <f>IF(NSTonghop!$E78&lt;&gt;0,0,NSTonghop!Y78)</f>
        <v>Sinh</v>
      </c>
      <c r="Z78" s="128">
        <f>IF(NSTonghop!$E78&lt;&gt;0,0,NSTonghop!Z78)</f>
        <v>0</v>
      </c>
      <c r="AA78" s="128" t="str">
        <f>IF(NSTonghop!$E78&lt;&gt;0,0,NSTonghop!AA78)</f>
        <v>SC/18</v>
      </c>
      <c r="AB78" s="128" t="str">
        <f>IF(NSTonghop!$E78&lt;&gt;0,0,NSTonghop!AB78)</f>
        <v>A/07/Khá</v>
      </c>
      <c r="AC78" s="128" t="str">
        <f>IF(NSTonghop!$E78&lt;&gt;0,0,NSTonghop!AC78)</f>
        <v>A/Anh/13/Khá</v>
      </c>
      <c r="AD78" s="128">
        <f>IF(NSTonghop!$E78&lt;&gt;0,0,NSTonghop!AD78)</f>
        <v>0</v>
      </c>
      <c r="AE78" s="128">
        <f>IF(NSTonghop!$E78&lt;&gt;0,0,NSTonghop!AE78)</f>
        <v>0</v>
      </c>
      <c r="AF78" s="128">
        <f>IF(NSTonghop!$E78&lt;&gt;0,0,NSTonghop!AF78)</f>
        <v>0</v>
      </c>
      <c r="AG78" s="128" t="str">
        <f>IF(NSTonghop!$E78&lt;&gt;0,0,NSTonghop!AG78)</f>
        <v>V.07.04.11</v>
      </c>
      <c r="AH78" s="128" t="str">
        <f>IF(NSTonghop!$E78&lt;&gt;0,0,NSTonghop!AH78)</f>
        <v>CN/06/Khá</v>
      </c>
      <c r="AI78" s="128">
        <f>IF(NSTonghop!$E78&lt;&gt;0,0,NSTonghop!AI78)</f>
        <v>5006003482</v>
      </c>
      <c r="AJ78" s="128">
        <f>IF(NSTonghop!$E78&lt;&gt;0,0,NSTonghop!AJ78)</f>
        <v>351421471</v>
      </c>
      <c r="AK78" s="128" t="str">
        <f>IF(NSTonghop!$E78&lt;&gt;0,0,NSTonghop!AK78)</f>
        <v>18/03/2011</v>
      </c>
      <c r="AL78" s="128" t="str">
        <f>IF(NSTonghop!$E78&lt;&gt;0,0,NSTonghop!AL78)</f>
        <v>01/09/2005</v>
      </c>
      <c r="AM78" s="128" t="str">
        <f>IF(NSTonghop!$E78&lt;&gt;0,0,NSTonghop!AM78)</f>
        <v>01/09/2005</v>
      </c>
      <c r="AN78" s="128" t="str">
        <f>IF(NSTonghop!$E78&lt;&gt;0,0,NSTonghop!AN78)</f>
        <v>01/09/2006</v>
      </c>
      <c r="AO78" s="128" t="str">
        <f>IF(NSTonghop!$E78&lt;&gt;0,0,NSTonghop!AO78)</f>
        <v>22/01/2010</v>
      </c>
      <c r="AP78" s="128" t="str">
        <f>IF(NSTonghop!$E78&lt;&gt;0,0,NSTonghop!AP78)</f>
        <v>31.047 721</v>
      </c>
      <c r="AQ78" s="128">
        <f>IF(NSTonghop!$E78&lt;&gt;0,0,NSTonghop!AQ78)</f>
        <v>2010</v>
      </c>
      <c r="AR78" s="128" t="str">
        <f>IF(NSTonghop!$E78&lt;&gt;0,0,NSTonghop!AR78)</f>
        <v>26/03/2000</v>
      </c>
      <c r="AS78" s="128">
        <f>IF(NSTonghop!$E78&lt;&gt;0,0,NSTonghop!AS78)</f>
        <v>0</v>
      </c>
      <c r="AT78" s="128" t="str">
        <f>IF(NSTonghop!$E78&lt;&gt;0,0,NSTonghop!AT78)</f>
        <v>0988326346</v>
      </c>
      <c r="AU78" s="212"/>
    </row>
    <row r="79" spans="1:47" s="118" customFormat="1" x14ac:dyDescent="0.25">
      <c r="A79" s="220"/>
      <c r="B79" s="225">
        <f>IF(F79&lt;&gt;0,MAX($B$8:B78)+1,"")</f>
        <v>62</v>
      </c>
      <c r="C79" s="132">
        <f>IF(F79=0,0,MAX($C$67:C78)+1)</f>
        <v>13</v>
      </c>
      <c r="D79" s="441" t="str">
        <f>IF(NSTonghop!$E79&lt;&gt;0,0,NSTonghop!D79)</f>
        <v>x</v>
      </c>
      <c r="E79" s="128">
        <f>IF(NSTonghop!E79&lt;&gt;0,0,0)</f>
        <v>0</v>
      </c>
      <c r="F79" s="128" t="str">
        <f>IF(NSTonghop!$E79&lt;&gt;0,0,NSTonghop!F79)</f>
        <v>Phan Thị Hồng Ngoan</v>
      </c>
      <c r="G79" s="128" t="str">
        <f>IF(NSTonghop!$E79&lt;&gt;0,0,NSTonghop!G79)</f>
        <v>x</v>
      </c>
      <c r="H79" s="128">
        <f>IF(NSTonghop!$E79&lt;&gt;0,0,NSTonghop!H79)</f>
        <v>0</v>
      </c>
      <c r="I79" s="128" t="str">
        <f>IF(NSTonghop!$E79&lt;&gt;0,0,NSTonghop!I79)</f>
        <v>07/11/1986</v>
      </c>
      <c r="J79" s="128">
        <f>IF(NSTonghop!$E79&lt;&gt;0,0,NSTonghop!J79)</f>
        <v>0</v>
      </c>
      <c r="K79" s="128">
        <f>IF(NSTonghop!$E79&lt;&gt;0,0,NSTonghop!K79)</f>
        <v>1986</v>
      </c>
      <c r="L79" s="128" t="str">
        <f>IF(NSTonghop!$E79&lt;&gt;0,0,NSTonghop!L79)</f>
        <v>GV</v>
      </c>
      <c r="M79" s="128">
        <f>IF(NSTonghop!$E79&lt;&gt;0,0,NSTonghop!M79)</f>
        <v>0</v>
      </c>
      <c r="N79" s="128" t="str">
        <f>IF(NSTonghop!$E79&lt;&gt;0,0,NSTonghop!N79)</f>
        <v>Hòa Hảo</v>
      </c>
      <c r="O79" s="128" t="str">
        <f>IF(NSTonghop!$E79&lt;&gt;0,0,NSTonghop!O79)</f>
        <v>Nông dân</v>
      </c>
      <c r="P79" s="128" t="str">
        <f>IF(NSTonghop!$E79&lt;&gt;0,0,NSTonghop!P79)</f>
        <v>Bĩnh Mỹ-AG</v>
      </c>
      <c r="Q79" s="128" t="str">
        <f>IF(NSTonghop!$E79&lt;&gt;0,0,NSTonghop!Q79)</f>
        <v>Bĩnh Mỹ-Châu Phú</v>
      </c>
      <c r="R79" s="128" t="str">
        <f>IF(NSTonghop!$E79&lt;&gt;0,0,NSTonghop!R79)</f>
        <v>201/6 Bình Tân-Bình Mỹ</v>
      </c>
      <c r="S79" s="128" t="str">
        <f>IF(NSTonghop!$E79&lt;&gt;0,0,NSTonghop!S79)</f>
        <v>PTTH/04/Khá</v>
      </c>
      <c r="T79" s="128" t="str">
        <f>IF(NSTonghop!$E79&lt;&gt;0,0,NSTonghop!T79)</f>
        <v>CĐ3/Sinh-KTNN/08/Khá</v>
      </c>
      <c r="U79" s="128" t="str">
        <f>IF(NSTonghop!$E79&lt;&gt;0,0,NSTonghop!U79)</f>
        <v>ĐHTX/Sinh/13/TBK</v>
      </c>
      <c r="V79" s="128">
        <f>IF(NSTonghop!$E79&lt;&gt;0,0,NSTonghop!V79)</f>
        <v>0</v>
      </c>
      <c r="W79" s="128" t="str">
        <f>IF(NSTonghop!$E79&lt;&gt;0,0,NSTonghop!W79)</f>
        <v>ĐHTX</v>
      </c>
      <c r="X79" s="128" t="str">
        <f>IF(NSTonghop!$E79&lt;&gt;0,0,NSTonghop!X79)</f>
        <v>Sinh-KTNN</v>
      </c>
      <c r="Y79" s="128" t="str">
        <f>IF(NSTonghop!$E79&lt;&gt;0,0,NSTonghop!Y79)</f>
        <v>Sinh</v>
      </c>
      <c r="Z79" s="128">
        <f>IF(NSTonghop!$E79&lt;&gt;0,0,NSTonghop!Z79)</f>
        <v>0</v>
      </c>
      <c r="AA79" s="128">
        <f>IF(NSTonghop!$E79&lt;&gt;0,0,NSTonghop!AA79)</f>
        <v>0</v>
      </c>
      <c r="AB79" s="128" t="str">
        <f>IF(NSTonghop!$E79&lt;&gt;0,0,NSTonghop!AB79)</f>
        <v>A/07/Khá</v>
      </c>
      <c r="AC79" s="128" t="str">
        <f>IF(NSTonghop!$E79&lt;&gt;0,0,NSTonghop!AC79)</f>
        <v>B/Anh/10/TB</v>
      </c>
      <c r="AD79" s="128">
        <f>IF(NSTonghop!$E79&lt;&gt;0,0,NSTonghop!AD79)</f>
        <v>0</v>
      </c>
      <c r="AE79" s="128">
        <f>IF(NSTonghop!$E79&lt;&gt;0,0,NSTonghop!AE79)</f>
        <v>0</v>
      </c>
      <c r="AF79" s="128">
        <f>IF(NSTonghop!$E79&lt;&gt;0,0,NSTonghop!AF79)</f>
        <v>0</v>
      </c>
      <c r="AG79" s="128" t="str">
        <f>IF(NSTonghop!$E79&lt;&gt;0,0,NSTonghop!AG79)</f>
        <v>V.07.04.11</v>
      </c>
      <c r="AH79" s="128" t="str">
        <f>IF(NSTonghop!$E79&lt;&gt;0,0,NSTonghop!AH79)</f>
        <v>CN/14/Giỏi</v>
      </c>
      <c r="AI79" s="128">
        <f>IF(NSTonghop!$E79&lt;&gt;0,0,NSTonghop!AI79)</f>
        <v>8908007005</v>
      </c>
      <c r="AJ79" s="128">
        <f>IF(NSTonghop!$E79&lt;&gt;0,0,NSTonghop!AJ79)</f>
        <v>351733096</v>
      </c>
      <c r="AK79" s="128" t="str">
        <f>IF(NSTonghop!$E79&lt;&gt;0,0,NSTonghop!AK79)</f>
        <v>18/02/2016</v>
      </c>
      <c r="AL79" s="128" t="str">
        <f>IF(NSTonghop!$E79&lt;&gt;0,0,NSTonghop!AL79)</f>
        <v>01/09/2008</v>
      </c>
      <c r="AM79" s="128" t="str">
        <f>IF(NSTonghop!$E79&lt;&gt;0,0,NSTonghop!AM79)</f>
        <v>01/08/2018</v>
      </c>
      <c r="AN79" s="128" t="str">
        <f>IF(NSTonghop!$E79&lt;&gt;0,0,NSTonghop!AN79)</f>
        <v>01/09/2009</v>
      </c>
      <c r="AO79" s="128">
        <f>IF(NSTonghop!$E79&lt;&gt;0,0,NSTonghop!AO79)</f>
        <v>0</v>
      </c>
      <c r="AP79" s="128">
        <f>IF(NSTonghop!$E79&lt;&gt;0,0,NSTonghop!AP79)</f>
        <v>0</v>
      </c>
      <c r="AQ79" s="128" t="str">
        <f>IF(NSTonghop!$E79&lt;&gt;0,0,NSTonghop!AQ79)</f>
        <v/>
      </c>
      <c r="AR79" s="128" t="str">
        <f>IF(NSTonghop!$E79&lt;&gt;0,0,NSTonghop!AR79)</f>
        <v>17/12/2000</v>
      </c>
      <c r="AS79" s="128">
        <f>IF(NSTonghop!$E79&lt;&gt;0,0,NSTonghop!AS79)</f>
        <v>0</v>
      </c>
      <c r="AT79" s="128" t="str">
        <f>IF(NSTonghop!$E79&lt;&gt;0,0,NSTonghop!AT79)</f>
        <v>0984942331</v>
      </c>
      <c r="AU79" s="212"/>
    </row>
    <row r="80" spans="1:47" s="118" customFormat="1" x14ac:dyDescent="0.25">
      <c r="A80" s="220"/>
      <c r="B80" s="225">
        <f>IF(F80&lt;&gt;0,MAX($B$8:B79)+1,"")</f>
        <v>63</v>
      </c>
      <c r="C80" s="132">
        <f>IF(F80=0,0,MAX($C$67:C79)+1)</f>
        <v>14</v>
      </c>
      <c r="D80" s="441" t="str">
        <f>IF(NSTonghop!$E80&lt;&gt;0,0,NSTonghop!D80)</f>
        <v>x</v>
      </c>
      <c r="E80" s="128">
        <f>IF(NSTonghop!E80&lt;&gt;0,0,0)</f>
        <v>0</v>
      </c>
      <c r="F80" s="128" t="str">
        <f>IF(NSTonghop!$E80&lt;&gt;0,0,NSTonghop!F80)</f>
        <v>Nguyễn Thanh Liêm</v>
      </c>
      <c r="G80" s="128">
        <f>IF(NSTonghop!$E80&lt;&gt;0,0,NSTonghop!G80)</f>
        <v>0</v>
      </c>
      <c r="H80" s="128" t="str">
        <f>IF(NSTonghop!$E80&lt;&gt;0,0,NSTonghop!H80)</f>
        <v>28/11/1983</v>
      </c>
      <c r="I80" s="128">
        <f>IF(NSTonghop!$E80&lt;&gt;0,0,NSTonghop!I80)</f>
        <v>0</v>
      </c>
      <c r="J80" s="128">
        <f>IF(NSTonghop!$E80&lt;&gt;0,0,NSTonghop!J80)</f>
        <v>1983</v>
      </c>
      <c r="K80" s="128">
        <f>IF(NSTonghop!$E80&lt;&gt;0,0,NSTonghop!K80)</f>
        <v>0</v>
      </c>
      <c r="L80" s="128" t="str">
        <f>IF(NSTonghop!$E80&lt;&gt;0,0,NSTonghop!L80)</f>
        <v>GV</v>
      </c>
      <c r="M80" s="128">
        <f>IF(NSTonghop!$E80&lt;&gt;0,0,NSTonghop!M80)</f>
        <v>0</v>
      </c>
      <c r="N80" s="128" t="str">
        <f>IF(NSTonghop!$E80&lt;&gt;0,0,NSTonghop!N80)</f>
        <v>Hòa Hảo</v>
      </c>
      <c r="O80" s="128" t="str">
        <f>IF(NSTonghop!$E80&lt;&gt;0,0,NSTonghop!O80)</f>
        <v>Nông dân</v>
      </c>
      <c r="P80" s="128" t="str">
        <f>IF(NSTonghop!$E80&lt;&gt;0,0,NSTonghop!P80)</f>
        <v>Bình Long-An Giang</v>
      </c>
      <c r="Q80" s="128" t="str">
        <f>IF(NSTonghop!$E80&lt;&gt;0,0,NSTonghop!Q80)</f>
        <v>Bình Long-Châu Phú</v>
      </c>
      <c r="R80" s="128" t="str">
        <f>IF(NSTonghop!$E80&lt;&gt;0,0,NSTonghop!R80)</f>
        <v>210/11Chánh Hưng-Bình Long</v>
      </c>
      <c r="S80" s="128" t="str">
        <f>IF(NSTonghop!$E80&lt;&gt;0,0,NSTonghop!S80)</f>
        <v>PTTH/01/Khá</v>
      </c>
      <c r="T80" s="128" t="str">
        <f>IF(NSTonghop!$E80&lt;&gt;0,0,NSTonghop!T80)</f>
        <v>CĐ3/Lý-KTCN/07/TBK</v>
      </c>
      <c r="U80" s="128" t="str">
        <f>IF(NSTonghop!$E80&lt;&gt;0,0,NSTonghop!U80)</f>
        <v>ĐHTX/Lý/11/TBK</v>
      </c>
      <c r="V80" s="128">
        <f>IF(NSTonghop!$E80&lt;&gt;0,0,NSTonghop!V80)</f>
        <v>0</v>
      </c>
      <c r="W80" s="128" t="str">
        <f>IF(NSTonghop!$E80&lt;&gt;0,0,NSTonghop!W80)</f>
        <v>ĐHTX</v>
      </c>
      <c r="X80" s="128" t="str">
        <f>IF(NSTonghop!$E80&lt;&gt;0,0,NSTonghop!X80)</f>
        <v>Lý-KTCN</v>
      </c>
      <c r="Y80" s="128" t="str">
        <f>IF(NSTonghop!$E80&lt;&gt;0,0,NSTonghop!Y80)</f>
        <v>Lý</v>
      </c>
      <c r="Z80" s="128">
        <f>IF(NSTonghop!$E80&lt;&gt;0,0,NSTonghop!Z80)</f>
        <v>0</v>
      </c>
      <c r="AA80" s="128" t="str">
        <f>IF(NSTonghop!$E80&lt;&gt;0,0,NSTonghop!AA80)</f>
        <v>SC/16</v>
      </c>
      <c r="AB80" s="128" t="str">
        <f>IF(NSTonghop!$E80&lt;&gt;0,0,NSTonghop!AB80)</f>
        <v>A/07/Khá</v>
      </c>
      <c r="AC80" s="128">
        <f>IF(NSTonghop!$E80&lt;&gt;0,0,NSTonghop!AC80)</f>
        <v>0</v>
      </c>
      <c r="AD80" s="128">
        <f>IF(NSTonghop!$E80&lt;&gt;0,0,NSTonghop!AD80)</f>
        <v>0</v>
      </c>
      <c r="AE80" s="128">
        <f>IF(NSTonghop!$E80&lt;&gt;0,0,NSTonghop!AE80)</f>
        <v>0</v>
      </c>
      <c r="AF80" s="128">
        <f>IF(NSTonghop!$E80&lt;&gt;0,0,NSTonghop!AF80)</f>
        <v>0</v>
      </c>
      <c r="AG80" s="128" t="str">
        <f>IF(NSTonghop!$E80&lt;&gt;0,0,NSTonghop!AG80)</f>
        <v>V.07.04.11</v>
      </c>
      <c r="AH80" s="128" t="str">
        <f>IF(NSTonghop!$E80&lt;&gt;0,0,NSTonghop!AH80)</f>
        <v>CN/12/TB</v>
      </c>
      <c r="AI80" s="128">
        <f>IF(NSTonghop!$E80&lt;&gt;0,0,NSTonghop!AI80)</f>
        <v>8908006801</v>
      </c>
      <c r="AJ80" s="128">
        <f>IF(NSTonghop!$E80&lt;&gt;0,0,NSTonghop!AJ80)</f>
        <v>351467450</v>
      </c>
      <c r="AK80" s="128" t="str">
        <f>IF(NSTonghop!$E80&lt;&gt;0,0,NSTonghop!AK80)</f>
        <v>10/07/2012</v>
      </c>
      <c r="AL80" s="128" t="str">
        <f>IF(NSTonghop!$E80&lt;&gt;0,0,NSTonghop!AL80)</f>
        <v>01/09/2007</v>
      </c>
      <c r="AM80" s="128" t="str">
        <f>IF(NSTonghop!$E80&lt;&gt;0,0,NSTonghop!AM80)</f>
        <v>01/08/2019</v>
      </c>
      <c r="AN80" s="128" t="str">
        <f>IF(NSTonghop!$E80&lt;&gt;0,0,NSTonghop!AN80)</f>
        <v>01/09/2008</v>
      </c>
      <c r="AO80" s="128" t="str">
        <f>IF(NSTonghop!$E80&lt;&gt;0,0,NSTonghop!AO80)</f>
        <v>29/04/2010</v>
      </c>
      <c r="AP80" s="128">
        <f>IF(NSTonghop!$E80&lt;&gt;0,0,NSTonghop!AP80)</f>
        <v>31042164</v>
      </c>
      <c r="AQ80" s="128">
        <f>IF(NSTonghop!$E80&lt;&gt;0,0,NSTonghop!AQ80)</f>
        <v>2010</v>
      </c>
      <c r="AR80" s="128" t="str">
        <f>IF(NSTonghop!$E80&lt;&gt;0,0,NSTonghop!AR80)</f>
        <v>15/11/1999</v>
      </c>
      <c r="AS80" s="128" t="str">
        <f>IF(NSTonghop!$E80&lt;&gt;0,0,NSTonghop!AS80)</f>
        <v>15/12/2007</v>
      </c>
      <c r="AT80" s="128" t="str">
        <f>IF(NSTonghop!$E80&lt;&gt;0,0,NSTonghop!AT80)</f>
        <v>0939815603</v>
      </c>
      <c r="AU80" s="212"/>
    </row>
    <row r="81" spans="1:47" s="118" customFormat="1" x14ac:dyDescent="0.25">
      <c r="A81" s="220"/>
      <c r="B81" s="225">
        <f>IF(F81&lt;&gt;0,MAX($B$8:B80)+1,"")</f>
        <v>64</v>
      </c>
      <c r="C81" s="132">
        <f>IF(F81=0,0,MAX($C$67:C80)+1)</f>
        <v>15</v>
      </c>
      <c r="D81" s="441">
        <f>IF(NSTonghop!$E81&lt;&gt;0,0,NSTonghop!D81)</f>
        <v>1203</v>
      </c>
      <c r="E81" s="128">
        <f>IF(NSTonghop!E81&lt;&gt;0,0,0)</f>
        <v>0</v>
      </c>
      <c r="F81" s="128" t="str">
        <f>IF(NSTonghop!$E81&lt;&gt;0,0,NSTonghop!F81)</f>
        <v>Trần Thị Sẫm</v>
      </c>
      <c r="G81" s="128" t="str">
        <f>IF(NSTonghop!$E81&lt;&gt;0,0,NSTonghop!G81)</f>
        <v>x</v>
      </c>
      <c r="H81" s="128">
        <f>IF(NSTonghop!$E81&lt;&gt;0,0,NSTonghop!H81)</f>
        <v>0</v>
      </c>
      <c r="I81" s="128" t="str">
        <f>IF(NSTonghop!$E81&lt;&gt;0,0,NSTonghop!I81)</f>
        <v>12/08/1966</v>
      </c>
      <c r="J81" s="128">
        <f>IF(NSTonghop!$E81&lt;&gt;0,0,NSTonghop!J81)</f>
        <v>0</v>
      </c>
      <c r="K81" s="128">
        <f>IF(NSTonghop!$E81&lt;&gt;0,0,NSTonghop!K81)</f>
        <v>1966</v>
      </c>
      <c r="L81" s="128" t="str">
        <f>IF(NSTonghop!$E81&lt;&gt;0,0,NSTonghop!L81)</f>
        <v>GV</v>
      </c>
      <c r="M81" s="128">
        <f>IF(NSTonghop!$E81&lt;&gt;0,0,NSTonghop!M81)</f>
        <v>0</v>
      </c>
      <c r="N81" s="128" t="str">
        <f>IF(NSTonghop!$E81&lt;&gt;0,0,NSTonghop!N81)</f>
        <v>Phật</v>
      </c>
      <c r="O81" s="128" t="str">
        <f>IF(NSTonghop!$E81&lt;&gt;0,0,NSTonghop!O81)</f>
        <v>Nông dân</v>
      </c>
      <c r="P81" s="128" t="str">
        <f>IF(NSTonghop!$E81&lt;&gt;0,0,NSTonghop!P81)</f>
        <v>Vĩnh Thạnh Trung-AG</v>
      </c>
      <c r="Q81" s="128" t="str">
        <f>IF(NSTonghop!$E81&lt;&gt;0,0,NSTonghop!Q81)</f>
        <v>Vĩnh Thạnh Trung-Châu Phú</v>
      </c>
      <c r="R81" s="128" t="str">
        <f>IF(NSTonghop!$E81&lt;&gt;0,0,NSTonghop!R81)</f>
        <v>324 Vĩnh Quới-VTT</v>
      </c>
      <c r="S81" s="128" t="str">
        <f>IF(NSTonghop!$E81&lt;&gt;0,0,NSTonghop!S81)</f>
        <v>PTTH/83/TB</v>
      </c>
      <c r="T81" s="128" t="str">
        <f>IF(NSTonghop!$E81&lt;&gt;0,0,NSTonghop!T81)</f>
        <v>CĐ3/Lý-KTCN/86/TB</v>
      </c>
      <c r="U81" s="128" t="str">
        <f>IF(NSTonghop!$E81&lt;&gt;0,0,NSTonghop!U81)</f>
        <v>ĐHTX/Lý/10/TBK</v>
      </c>
      <c r="V81" s="128">
        <f>IF(NSTonghop!$E81&lt;&gt;0,0,NSTonghop!V81)</f>
        <v>0</v>
      </c>
      <c r="W81" s="128" t="str">
        <f>IF(NSTonghop!$E81&lt;&gt;0,0,NSTonghop!W81)</f>
        <v>ĐHTX</v>
      </c>
      <c r="X81" s="128" t="str">
        <f>IF(NSTonghop!$E81&lt;&gt;0,0,NSTonghop!X81)</f>
        <v>Lý-KTCN</v>
      </c>
      <c r="Y81" s="128" t="str">
        <f>IF(NSTonghop!$E81&lt;&gt;0,0,NSTonghop!Y81)</f>
        <v>Lý</v>
      </c>
      <c r="Z81" s="128">
        <f>IF(NSTonghop!$E81&lt;&gt;0,0,NSTonghop!Z81)</f>
        <v>0</v>
      </c>
      <c r="AA81" s="128">
        <f>IF(NSTonghop!$E81&lt;&gt;0,0,NSTonghop!AA81)</f>
        <v>0</v>
      </c>
      <c r="AB81" s="128" t="str">
        <f>IF(NSTonghop!$E81&lt;&gt;0,0,NSTonghop!AB81)</f>
        <v>A/08/TB</v>
      </c>
      <c r="AC81" s="128">
        <f>IF(NSTonghop!$E81&lt;&gt;0,0,NSTonghop!AC81)</f>
        <v>0</v>
      </c>
      <c r="AD81" s="128">
        <f>IF(NSTonghop!$E81&lt;&gt;0,0,NSTonghop!AD81)</f>
        <v>0</v>
      </c>
      <c r="AE81" s="128">
        <f>IF(NSTonghop!$E81&lt;&gt;0,0,NSTonghop!AE81)</f>
        <v>0</v>
      </c>
      <c r="AF81" s="128">
        <f>IF(NSTonghop!$E81&lt;&gt;0,0,NSTonghop!AF81)</f>
        <v>0</v>
      </c>
      <c r="AG81" s="128" t="str">
        <f>IF(NSTonghop!$E81&lt;&gt;0,0,NSTonghop!AG81)</f>
        <v>V.07.04.11</v>
      </c>
      <c r="AH81" s="128" t="str">
        <f>IF(NSTonghop!$E81&lt;&gt;0,0,NSTonghop!AH81)</f>
        <v>CN/12/Giỏi</v>
      </c>
      <c r="AI81" s="128">
        <f>IF(NSTonghop!$E81&lt;&gt;0,0,NSTonghop!AI81)</f>
        <v>5096017214</v>
      </c>
      <c r="AJ81" s="128">
        <f>IF(NSTonghop!$E81&lt;&gt;0,0,NSTonghop!AJ81)</f>
        <v>351562964</v>
      </c>
      <c r="AK81" s="128" t="str">
        <f>IF(NSTonghop!$E81&lt;&gt;0,0,NSTonghop!AK81)</f>
        <v>05/03/2012</v>
      </c>
      <c r="AL81" s="128" t="str">
        <f>IF(NSTonghop!$E81&lt;&gt;0,0,NSTonghop!AL81)</f>
        <v>01/09/1986</v>
      </c>
      <c r="AM81" s="128" t="str">
        <f>IF(NSTonghop!$E81&lt;&gt;0,0,NSTonghop!AM81)</f>
        <v>01/09/1986</v>
      </c>
      <c r="AN81" s="128" t="str">
        <f>IF(NSTonghop!$E81&lt;&gt;0,0,NSTonghop!AN81)</f>
        <v>01/03/1989</v>
      </c>
      <c r="AO81" s="128">
        <f>IF(NSTonghop!$E81&lt;&gt;0,0,NSTonghop!AO81)</f>
        <v>0</v>
      </c>
      <c r="AP81" s="128">
        <f>IF(NSTonghop!$E81&lt;&gt;0,0,NSTonghop!AP81)</f>
        <v>0</v>
      </c>
      <c r="AQ81" s="128" t="str">
        <f>IF(NSTonghop!$E81&lt;&gt;0,0,NSTonghop!AQ81)</f>
        <v/>
      </c>
      <c r="AR81" s="128">
        <f>IF(NSTonghop!$E81&lt;&gt;0,0,NSTonghop!AR81)</f>
        <v>0</v>
      </c>
      <c r="AS81" s="128">
        <f>IF(NSTonghop!$E81&lt;&gt;0,0,NSTonghop!AS81)</f>
        <v>0</v>
      </c>
      <c r="AT81" s="128" t="str">
        <f>IF(NSTonghop!$E81&lt;&gt;0,0,NSTonghop!AT81)</f>
        <v>0344112977</v>
      </c>
      <c r="AU81" s="212"/>
    </row>
    <row r="82" spans="1:47" s="118" customFormat="1" x14ac:dyDescent="0.25">
      <c r="A82" s="220"/>
      <c r="B82" s="128" t="str">
        <f>IF(F82&lt;&gt;0,MAX($B$8:B81)+1,"")</f>
        <v/>
      </c>
      <c r="C82" s="132">
        <f>IF(F82=0,0,MAX($C$67:C81)+1)</f>
        <v>0</v>
      </c>
      <c r="D82" s="133">
        <f>IF(NSTonghop!$E82&lt;&gt;0,0,NSTonghop!D82)</f>
        <v>0</v>
      </c>
      <c r="E82" s="128">
        <f>IF(NSTonghop!E82&lt;&gt;0,0,0)</f>
        <v>0</v>
      </c>
      <c r="F82" s="128">
        <f>IF(NSTonghop!$E82&lt;&gt;0,0,NSTonghop!F82)</f>
        <v>0</v>
      </c>
      <c r="G82" s="128">
        <f>IF(NSTonghop!$E82&lt;&gt;0,0,NSTonghop!G82)</f>
        <v>0</v>
      </c>
      <c r="H82" s="128">
        <f>IF(NSTonghop!$E82&lt;&gt;0,0,NSTonghop!H82)</f>
        <v>0</v>
      </c>
      <c r="I82" s="128">
        <f>IF(NSTonghop!$E82&lt;&gt;0,0,NSTonghop!I82)</f>
        <v>0</v>
      </c>
      <c r="J82" s="128">
        <f>IF(NSTonghop!$E82&lt;&gt;0,0,NSTonghop!J82)</f>
        <v>0</v>
      </c>
      <c r="K82" s="128">
        <f>IF(NSTonghop!$E82&lt;&gt;0,0,NSTonghop!K82)</f>
        <v>0</v>
      </c>
      <c r="L82" s="128">
        <f>IF(NSTonghop!$E82&lt;&gt;0,0,NSTonghop!L82)</f>
        <v>0</v>
      </c>
      <c r="M82" s="128">
        <f>IF(NSTonghop!$E82&lt;&gt;0,0,NSTonghop!M82)</f>
        <v>0</v>
      </c>
      <c r="N82" s="128">
        <f>IF(NSTonghop!$E82&lt;&gt;0,0,NSTonghop!N82)</f>
        <v>0</v>
      </c>
      <c r="O82" s="128">
        <f>IF(NSTonghop!$E82&lt;&gt;0,0,NSTonghop!O82)</f>
        <v>0</v>
      </c>
      <c r="P82" s="128">
        <f>IF(NSTonghop!$E82&lt;&gt;0,0,NSTonghop!P82)</f>
        <v>0</v>
      </c>
      <c r="Q82" s="128">
        <f>IF(NSTonghop!$E82&lt;&gt;0,0,NSTonghop!Q82)</f>
        <v>0</v>
      </c>
      <c r="R82" s="128">
        <f>IF(NSTonghop!$E82&lt;&gt;0,0,NSTonghop!R82)</f>
        <v>0</v>
      </c>
      <c r="S82" s="128">
        <f>IF(NSTonghop!$E82&lt;&gt;0,0,NSTonghop!S82)</f>
        <v>0</v>
      </c>
      <c r="T82" s="128">
        <f>IF(NSTonghop!$E82&lt;&gt;0,0,NSTonghop!T82)</f>
        <v>0</v>
      </c>
      <c r="U82" s="128">
        <f>IF(NSTonghop!$E82&lt;&gt;0,0,NSTonghop!U82)</f>
        <v>0</v>
      </c>
      <c r="V82" s="128">
        <f>IF(NSTonghop!$E82&lt;&gt;0,0,NSTonghop!V82)</f>
        <v>0</v>
      </c>
      <c r="W82" s="128">
        <f>IF(NSTonghop!$E82&lt;&gt;0,0,NSTonghop!W82)</f>
        <v>0</v>
      </c>
      <c r="X82" s="128">
        <f>IF(NSTonghop!$E82&lt;&gt;0,0,NSTonghop!X82)</f>
        <v>0</v>
      </c>
      <c r="Y82" s="128">
        <f>IF(NSTonghop!$E82&lt;&gt;0,0,NSTonghop!Y82)</f>
        <v>0</v>
      </c>
      <c r="Z82" s="128">
        <f>IF(NSTonghop!$E82&lt;&gt;0,0,NSTonghop!Z82)</f>
        <v>0</v>
      </c>
      <c r="AA82" s="128">
        <f>IF(NSTonghop!$E82&lt;&gt;0,0,NSTonghop!AA82)</f>
        <v>0</v>
      </c>
      <c r="AB82" s="128">
        <f>IF(NSTonghop!$E82&lt;&gt;0,0,NSTonghop!AB82)</f>
        <v>0</v>
      </c>
      <c r="AC82" s="128">
        <f>IF(NSTonghop!$E82&lt;&gt;0,0,NSTonghop!AC82)</f>
        <v>0</v>
      </c>
      <c r="AD82" s="128">
        <f>IF(NSTonghop!$E82&lt;&gt;0,0,NSTonghop!AD82)</f>
        <v>0</v>
      </c>
      <c r="AE82" s="128">
        <f>IF(NSTonghop!$E82&lt;&gt;0,0,NSTonghop!AE82)</f>
        <v>0</v>
      </c>
      <c r="AF82" s="128">
        <f>IF(NSTonghop!$E82&lt;&gt;0,0,NSTonghop!AF82)</f>
        <v>0</v>
      </c>
      <c r="AG82" s="128">
        <f>IF(NSTonghop!$E82&lt;&gt;0,0,NSTonghop!AG82)</f>
        <v>0</v>
      </c>
      <c r="AH82" s="128">
        <f>IF(NSTonghop!$E82&lt;&gt;0,0,NSTonghop!AH82)</f>
        <v>0</v>
      </c>
      <c r="AI82" s="128">
        <f>IF(NSTonghop!$E82&lt;&gt;0,0,NSTonghop!AI82)</f>
        <v>0</v>
      </c>
      <c r="AJ82" s="128">
        <f>IF(NSTonghop!$E82&lt;&gt;0,0,NSTonghop!AJ82)</f>
        <v>0</v>
      </c>
      <c r="AK82" s="128">
        <f>IF(NSTonghop!$E82&lt;&gt;0,0,NSTonghop!AK82)</f>
        <v>0</v>
      </c>
      <c r="AL82" s="128">
        <f>IF(NSTonghop!$E82&lt;&gt;0,0,NSTonghop!AL82)</f>
        <v>0</v>
      </c>
      <c r="AM82" s="128">
        <f>IF(NSTonghop!$E82&lt;&gt;0,0,NSTonghop!AM82)</f>
        <v>0</v>
      </c>
      <c r="AN82" s="128">
        <f>IF(NSTonghop!$E82&lt;&gt;0,0,NSTonghop!AN82)</f>
        <v>0</v>
      </c>
      <c r="AO82" s="128">
        <f>IF(NSTonghop!$E82&lt;&gt;0,0,NSTonghop!AO82)</f>
        <v>0</v>
      </c>
      <c r="AP82" s="128">
        <f>IF(NSTonghop!$E82&lt;&gt;0,0,NSTonghop!AP82)</f>
        <v>0</v>
      </c>
      <c r="AQ82" s="128">
        <f>IF(NSTonghop!$E82&lt;&gt;0,0,NSTonghop!AQ82)</f>
        <v>0</v>
      </c>
      <c r="AR82" s="128">
        <f>IF(NSTonghop!$E82&lt;&gt;0,0,NSTonghop!AR82)</f>
        <v>0</v>
      </c>
      <c r="AS82" s="128">
        <f>IF(NSTonghop!$E82&lt;&gt;0,0,NSTonghop!AS82)</f>
        <v>0</v>
      </c>
      <c r="AT82" s="128">
        <f>IF(NSTonghop!$E82&lt;&gt;0,0,NSTonghop!AT82)</f>
        <v>0</v>
      </c>
      <c r="AU82" s="212"/>
    </row>
    <row r="83" spans="1:47" s="118" customFormat="1" x14ac:dyDescent="0.25">
      <c r="A83" s="220"/>
      <c r="B83" s="142" t="str">
        <f>IF(F83&lt;&gt;0,MAX($B$8:B82)+1,"")</f>
        <v/>
      </c>
      <c r="C83" s="143">
        <f>IF(F83=0,0,MAX($C$67:C82)+1)</f>
        <v>0</v>
      </c>
      <c r="D83" s="144">
        <f>IF(NSTonghop!$E83&lt;&gt;0,0,NSTonghop!D83)</f>
        <v>0</v>
      </c>
      <c r="E83" s="142">
        <f>IF(NSTonghop!E83&lt;&gt;0,0,0)</f>
        <v>0</v>
      </c>
      <c r="F83" s="142">
        <f>IF(NSTonghop!$E83&lt;&gt;0,0,NSTonghop!F83)</f>
        <v>0</v>
      </c>
      <c r="G83" s="142">
        <f>IF(NSTonghop!$E83&lt;&gt;0,0,NSTonghop!G83)</f>
        <v>0</v>
      </c>
      <c r="H83" s="142">
        <f>IF(NSTonghop!$E83&lt;&gt;0,0,NSTonghop!H83)</f>
        <v>0</v>
      </c>
      <c r="I83" s="142">
        <f>IF(NSTonghop!$E83&lt;&gt;0,0,NSTonghop!I83)</f>
        <v>0</v>
      </c>
      <c r="J83" s="142">
        <f>IF(NSTonghop!$E83&lt;&gt;0,0,NSTonghop!J83)</f>
        <v>0</v>
      </c>
      <c r="K83" s="142">
        <f>IF(NSTonghop!$E83&lt;&gt;0,0,NSTonghop!K83)</f>
        <v>0</v>
      </c>
      <c r="L83" s="142">
        <f>IF(NSTonghop!$E83&lt;&gt;0,0,NSTonghop!L83)</f>
        <v>0</v>
      </c>
      <c r="M83" s="142">
        <f>IF(NSTonghop!$E83&lt;&gt;0,0,NSTonghop!M83)</f>
        <v>0</v>
      </c>
      <c r="N83" s="142">
        <f>IF(NSTonghop!$E83&lt;&gt;0,0,NSTonghop!N83)</f>
        <v>0</v>
      </c>
      <c r="O83" s="142">
        <f>IF(NSTonghop!$E83&lt;&gt;0,0,NSTonghop!O83)</f>
        <v>0</v>
      </c>
      <c r="P83" s="142">
        <f>IF(NSTonghop!$E83&lt;&gt;0,0,NSTonghop!P83)</f>
        <v>0</v>
      </c>
      <c r="Q83" s="142">
        <f>IF(NSTonghop!$E83&lt;&gt;0,0,NSTonghop!Q83)</f>
        <v>0</v>
      </c>
      <c r="R83" s="142">
        <f>IF(NSTonghop!$E83&lt;&gt;0,0,NSTonghop!R83)</f>
        <v>0</v>
      </c>
      <c r="S83" s="142">
        <f>IF(NSTonghop!$E83&lt;&gt;0,0,NSTonghop!S83)</f>
        <v>0</v>
      </c>
      <c r="T83" s="142">
        <f>IF(NSTonghop!$E83&lt;&gt;0,0,NSTonghop!T83)</f>
        <v>0</v>
      </c>
      <c r="U83" s="142">
        <f>IF(NSTonghop!$E83&lt;&gt;0,0,NSTonghop!U83)</f>
        <v>0</v>
      </c>
      <c r="V83" s="142">
        <f>IF(NSTonghop!$E83&lt;&gt;0,0,NSTonghop!V83)</f>
        <v>0</v>
      </c>
      <c r="W83" s="142">
        <f>IF(NSTonghop!$E83&lt;&gt;0,0,NSTonghop!W83)</f>
        <v>0</v>
      </c>
      <c r="X83" s="142">
        <f>IF(NSTonghop!$E83&lt;&gt;0,0,NSTonghop!X83)</f>
        <v>0</v>
      </c>
      <c r="Y83" s="142">
        <f>IF(NSTonghop!$E83&lt;&gt;0,0,NSTonghop!Y83)</f>
        <v>0</v>
      </c>
      <c r="Z83" s="142">
        <f>IF(NSTonghop!$E83&lt;&gt;0,0,NSTonghop!Z83)</f>
        <v>0</v>
      </c>
      <c r="AA83" s="142">
        <f>IF(NSTonghop!$E83&lt;&gt;0,0,NSTonghop!AA83)</f>
        <v>0</v>
      </c>
      <c r="AB83" s="142">
        <f>IF(NSTonghop!$E83&lt;&gt;0,0,NSTonghop!AB83)</f>
        <v>0</v>
      </c>
      <c r="AC83" s="142">
        <f>IF(NSTonghop!$E83&lt;&gt;0,0,NSTonghop!AC83)</f>
        <v>0</v>
      </c>
      <c r="AD83" s="142">
        <f>IF(NSTonghop!$E83&lt;&gt;0,0,NSTonghop!AD83)</f>
        <v>0</v>
      </c>
      <c r="AE83" s="142">
        <f>IF(NSTonghop!$E83&lt;&gt;0,0,NSTonghop!AE83)</f>
        <v>0</v>
      </c>
      <c r="AF83" s="142">
        <f>IF(NSTonghop!$E83&lt;&gt;0,0,NSTonghop!AF83)</f>
        <v>0</v>
      </c>
      <c r="AG83" s="142">
        <f>IF(NSTonghop!$E83&lt;&gt;0,0,NSTonghop!AG83)</f>
        <v>0</v>
      </c>
      <c r="AH83" s="142">
        <f>IF(NSTonghop!$E83&lt;&gt;0,0,NSTonghop!AH83)</f>
        <v>0</v>
      </c>
      <c r="AI83" s="142">
        <f>IF(NSTonghop!$E83&lt;&gt;0,0,NSTonghop!AI83)</f>
        <v>0</v>
      </c>
      <c r="AJ83" s="142">
        <f>IF(NSTonghop!$E83&lt;&gt;0,0,NSTonghop!AJ83)</f>
        <v>0</v>
      </c>
      <c r="AK83" s="142">
        <f>IF(NSTonghop!$E83&lt;&gt;0,0,NSTonghop!AK83)</f>
        <v>0</v>
      </c>
      <c r="AL83" s="142">
        <f>IF(NSTonghop!$E83&lt;&gt;0,0,NSTonghop!AL83)</f>
        <v>0</v>
      </c>
      <c r="AM83" s="142">
        <f>IF(NSTonghop!$E83&lt;&gt;0,0,NSTonghop!AM83)</f>
        <v>0</v>
      </c>
      <c r="AN83" s="142">
        <f>IF(NSTonghop!$E83&lt;&gt;0,0,NSTonghop!AN83)</f>
        <v>0</v>
      </c>
      <c r="AO83" s="142">
        <f>IF(NSTonghop!$E83&lt;&gt;0,0,NSTonghop!AO83)</f>
        <v>0</v>
      </c>
      <c r="AP83" s="142">
        <f>IF(NSTonghop!$E83&lt;&gt;0,0,NSTonghop!AP83)</f>
        <v>0</v>
      </c>
      <c r="AQ83" s="142">
        <f>IF(NSTonghop!$E83&lt;&gt;0,0,NSTonghop!AQ83)</f>
        <v>0</v>
      </c>
      <c r="AR83" s="142">
        <f>IF(NSTonghop!$E83&lt;&gt;0,0,NSTonghop!AR83)</f>
        <v>0</v>
      </c>
      <c r="AS83" s="142">
        <f>IF(NSTonghop!$E83&lt;&gt;0,0,NSTonghop!AS83)</f>
        <v>0</v>
      </c>
      <c r="AT83" s="142">
        <f>IF(NSTonghop!$E83&lt;&gt;0,0,NSTonghop!AT83)</f>
        <v>0</v>
      </c>
      <c r="AU83" s="212"/>
    </row>
    <row r="84" spans="1:47" x14ac:dyDescent="0.25">
      <c r="A84" s="220"/>
      <c r="B84" s="151">
        <f>IF(F84&lt;&gt;0,MAX($B$8:B83)+1,"")</f>
        <v>65</v>
      </c>
      <c r="C84" s="152">
        <f>IF(F84=0,0,1)</f>
        <v>1</v>
      </c>
      <c r="D84" s="441">
        <f>IF(NSTonghop!$E84&lt;&gt;0,0,NSTonghop!D84)</f>
        <v>1217</v>
      </c>
      <c r="E84" s="151">
        <f>IF(NSTonghop!E84&lt;&gt;0,0,0)</f>
        <v>0</v>
      </c>
      <c r="F84" s="151" t="str">
        <f>IF(NSTonghop!$E84&lt;&gt;0,0,NSTonghop!F84)</f>
        <v>Tiêu Thanh Nam</v>
      </c>
      <c r="G84" s="151">
        <f>IF(NSTonghop!$E84&lt;&gt;0,0,NSTonghop!G84)</f>
        <v>0</v>
      </c>
      <c r="H84" s="151" t="str">
        <f>IF(NSTonghop!$E84&lt;&gt;0,0,NSTonghop!H84)</f>
        <v>01/07/1968</v>
      </c>
      <c r="I84" s="151">
        <f>IF(NSTonghop!$E84&lt;&gt;0,0,NSTonghop!I84)</f>
        <v>0</v>
      </c>
      <c r="J84" s="151">
        <f>IF(NSTonghop!$E84&lt;&gt;0,0,NSTonghop!J84)</f>
        <v>1968</v>
      </c>
      <c r="K84" s="151">
        <f>IF(NSTonghop!$E84&lt;&gt;0,0,NSTonghop!K84)</f>
        <v>0</v>
      </c>
      <c r="L84" s="151" t="str">
        <f>IF(NSTonghop!$E84&lt;&gt;0,0,NSTonghop!L84)</f>
        <v>GV</v>
      </c>
      <c r="M84" s="151">
        <f>IF(NSTonghop!$E84&lt;&gt;0,0,NSTonghop!M84)</f>
        <v>0</v>
      </c>
      <c r="N84" s="151" t="str">
        <f>IF(NSTonghop!$E84&lt;&gt;0,0,NSTonghop!N84)</f>
        <v>Phật</v>
      </c>
      <c r="O84" s="151" t="str">
        <f>IF(NSTonghop!$E84&lt;&gt;0,0,NSTonghop!O84)</f>
        <v>Tiểu thương</v>
      </c>
      <c r="P84" s="151" t="str">
        <f>IF(NSTonghop!$E84&lt;&gt;0,0,NSTonghop!P84)</f>
        <v>Cái Dầu-AG</v>
      </c>
      <c r="Q84" s="151" t="str">
        <f>IF(NSTonghop!$E84&lt;&gt;0,0,NSTonghop!Q84)</f>
        <v>Cái Dầu-Châu Phú</v>
      </c>
      <c r="R84" s="151" t="str">
        <f>IF(NSTonghop!$E84&lt;&gt;0,0,NSTonghop!R84)</f>
        <v>Bình Hòa-Cái Dầu</v>
      </c>
      <c r="S84" s="151" t="str">
        <f>IF(NSTonghop!$E84&lt;&gt;0,0,NSTonghop!S84)</f>
        <v>PTTH/87/TB</v>
      </c>
      <c r="T84" s="151" t="str">
        <f>IF(NSTonghop!$E84&lt;&gt;0,0,NSTonghop!T84)</f>
        <v>CĐ3/Văn-KTPT/91/Khá</v>
      </c>
      <c r="U84" s="151" t="str">
        <f>IF(NSTonghop!$E84&lt;&gt;0,0,NSTonghop!U84)</f>
        <v>CĐ3/TD/ 95/Giỏi</v>
      </c>
      <c r="V84" s="151" t="str">
        <f>IF(NSTonghop!$E84&lt;&gt;0,0,NSTonghop!V84)</f>
        <v>ĐHTC/TD/06/Khá</v>
      </c>
      <c r="W84" s="151" t="str">
        <f>IF(NSTonghop!$E84&lt;&gt;0,0,NSTonghop!W84)</f>
        <v>ĐHTC</v>
      </c>
      <c r="X84" s="151" t="str">
        <f>IF(NSTonghop!$E84&lt;&gt;0,0,NSTonghop!X84)</f>
        <v>TD</v>
      </c>
      <c r="Y84" s="151" t="str">
        <f>IF(NSTonghop!$E84&lt;&gt;0,0,NSTonghop!Y84)</f>
        <v>TD</v>
      </c>
      <c r="Z84" s="151">
        <f>IF(NSTonghop!$E84&lt;&gt;0,0,NSTonghop!Z84)</f>
        <v>0</v>
      </c>
      <c r="AA84" s="151">
        <f>IF(NSTonghop!$E84&lt;&gt;0,0,NSTonghop!AA84)</f>
        <v>0</v>
      </c>
      <c r="AB84" s="151" t="str">
        <f>IF(NSTonghop!$E84&lt;&gt;0,0,NSTonghop!AB84)</f>
        <v>A/09/TB</v>
      </c>
      <c r="AC84" s="151">
        <f>IF(NSTonghop!$E84&lt;&gt;0,0,NSTonghop!AC84)</f>
        <v>0</v>
      </c>
      <c r="AD84" s="151">
        <f>IF(NSTonghop!$E84&lt;&gt;0,0,NSTonghop!AD84)</f>
        <v>0</v>
      </c>
      <c r="AE84" s="151">
        <f>IF(NSTonghop!$E84&lt;&gt;0,0,NSTonghop!AE84)</f>
        <v>0</v>
      </c>
      <c r="AF84" s="151">
        <f>IF(NSTonghop!$E84&lt;&gt;0,0,NSTonghop!AF84)</f>
        <v>0</v>
      </c>
      <c r="AG84" s="151" t="str">
        <f>IF(NSTonghop!$E84&lt;&gt;0,0,NSTonghop!AG84)</f>
        <v>V.07.04.11</v>
      </c>
      <c r="AH84" s="151">
        <f>IF(NSTonghop!$E84&lt;&gt;0,0,NSTonghop!AH84)</f>
        <v>0</v>
      </c>
      <c r="AI84" s="151">
        <f>IF(NSTonghop!$E84&lt;&gt;0,0,NSTonghop!AI84)</f>
        <v>5096017207</v>
      </c>
      <c r="AJ84" s="151">
        <f>IF(NSTonghop!$E84&lt;&gt;0,0,NSTonghop!AJ84)</f>
        <v>350774208</v>
      </c>
      <c r="AK84" s="151" t="str">
        <f>IF(NSTonghop!$E84&lt;&gt;0,0,NSTonghop!AK84)</f>
        <v>21/04/2010</v>
      </c>
      <c r="AL84" s="151" t="str">
        <f>IF(NSTonghop!$E84&lt;&gt;0,0,NSTonghop!AL84)</f>
        <v>01/12/1991</v>
      </c>
      <c r="AM84" s="151" t="str">
        <f>IF(NSTonghop!$E84&lt;&gt;0,0,NSTonghop!AM84)</f>
        <v>06/12/1991</v>
      </c>
      <c r="AN84" s="151" t="str">
        <f>IF(NSTonghop!$E84&lt;&gt;0,0,NSTonghop!AN84)</f>
        <v>01/01/1995</v>
      </c>
      <c r="AO84" s="151">
        <f>IF(NSTonghop!$E84&lt;&gt;0,0,NSTonghop!AO84)</f>
        <v>0</v>
      </c>
      <c r="AP84" s="151">
        <f>IF(NSTonghop!$E84&lt;&gt;0,0,NSTonghop!AP84)</f>
        <v>0</v>
      </c>
      <c r="AQ84" s="151" t="str">
        <f>IF(NSTonghop!$E84&lt;&gt;0,0,NSTonghop!AQ84)</f>
        <v/>
      </c>
      <c r="AR84" s="151">
        <f>IF(NSTonghop!$E84&lt;&gt;0,0,NSTonghop!AR84)</f>
        <v>0</v>
      </c>
      <c r="AS84" s="151">
        <f>IF(NSTonghop!$E84&lt;&gt;0,0,NSTonghop!AS84)</f>
        <v>0</v>
      </c>
      <c r="AT84" s="151" t="str">
        <f>IF(NSTonghop!$E84&lt;&gt;0,0,NSTonghop!AT84)</f>
        <v>0919463336</v>
      </c>
      <c r="AU84" s="212"/>
    </row>
    <row r="85" spans="1:47" x14ac:dyDescent="0.25">
      <c r="A85" s="220"/>
      <c r="B85" s="162">
        <f>IF(F85&lt;&gt;0,MAX($B$8:B84)+1,"")</f>
        <v>66</v>
      </c>
      <c r="C85" s="163">
        <f>IF(F85=0,0,MAX($C$84:C84)+1)</f>
        <v>2</v>
      </c>
      <c r="D85" s="441">
        <f>IF(NSTonghop!$E85&lt;&gt;0,0,NSTonghop!D85)</f>
        <v>29918</v>
      </c>
      <c r="E85" s="162">
        <f>IF(NSTonghop!E85&lt;&gt;0,0,0)</f>
        <v>0</v>
      </c>
      <c r="F85" s="162" t="str">
        <f>IF(NSTonghop!$E85&lt;&gt;0,0,NSTonghop!F85)</f>
        <v>Dương Bình Trọng</v>
      </c>
      <c r="G85" s="162">
        <f>IF(NSTonghop!$E85&lt;&gt;0,0,NSTonghop!G85)</f>
        <v>0</v>
      </c>
      <c r="H85" s="162" t="str">
        <f>IF(NSTonghop!$E85&lt;&gt;0,0,NSTonghop!H85)</f>
        <v>20/07/1981</v>
      </c>
      <c r="I85" s="162">
        <f>IF(NSTonghop!$E85&lt;&gt;0,0,NSTonghop!I85)</f>
        <v>0</v>
      </c>
      <c r="J85" s="162">
        <f>IF(NSTonghop!$E85&lt;&gt;0,0,NSTonghop!J85)</f>
        <v>1981</v>
      </c>
      <c r="K85" s="162">
        <f>IF(NSTonghop!$E85&lt;&gt;0,0,NSTonghop!K85)</f>
        <v>0</v>
      </c>
      <c r="L85" s="162" t="str">
        <f>IF(NSTonghop!$E85&lt;&gt;0,0,NSTonghop!L85)</f>
        <v>GV</v>
      </c>
      <c r="M85" s="162">
        <f>IF(NSTonghop!$E85&lt;&gt;0,0,NSTonghop!M85)</f>
        <v>0</v>
      </c>
      <c r="N85" s="162" t="str">
        <f>IF(NSTonghop!$E85&lt;&gt;0,0,NSTonghop!N85)</f>
        <v>x</v>
      </c>
      <c r="O85" s="162" t="str">
        <f>IF(NSTonghop!$E85&lt;&gt;0,0,NSTonghop!O85)</f>
        <v>Tiểu thương</v>
      </c>
      <c r="P85" s="162" t="str">
        <f>IF(NSTonghop!$E85&lt;&gt;0,0,NSTonghop!P85)</f>
        <v>TT An Phú-AG</v>
      </c>
      <c r="Q85" s="162" t="str">
        <f>IF(NSTonghop!$E85&lt;&gt;0,0,NSTonghop!Q85)</f>
        <v>TT An Phú-An Phú</v>
      </c>
      <c r="R85" s="162" t="str">
        <f>IF(NSTonghop!$E85&lt;&gt;0,0,NSTonghop!R85)</f>
        <v>ấp 4, TT An Phú-</v>
      </c>
      <c r="S85" s="162" t="str">
        <f>IF(NSTonghop!$E85&lt;&gt;0,0,NSTonghop!S85)</f>
        <v>BTTH/02/TB</v>
      </c>
      <c r="T85" s="162" t="str">
        <f>IF(NSTonghop!$E85&lt;&gt;0,0,NSTonghop!T85)</f>
        <v>CĐ3/TD/06/Khá</v>
      </c>
      <c r="U85" s="162" t="str">
        <f>IF(NSTonghop!$E85&lt;&gt;0,0,NSTonghop!U85)</f>
        <v>ĐHTC/TD/11/Khá</v>
      </c>
      <c r="V85" s="162">
        <f>IF(NSTonghop!$E85&lt;&gt;0,0,NSTonghop!V85)</f>
        <v>0</v>
      </c>
      <c r="W85" s="162" t="str">
        <f>IF(NSTonghop!$E85&lt;&gt;0,0,NSTonghop!W85)</f>
        <v>ĐHTC</v>
      </c>
      <c r="X85" s="162" t="str">
        <f>IF(NSTonghop!$E85&lt;&gt;0,0,NSTonghop!X85)</f>
        <v>TD</v>
      </c>
      <c r="Y85" s="162" t="str">
        <f>IF(NSTonghop!$E85&lt;&gt;0,0,NSTonghop!Y85)</f>
        <v>TD</v>
      </c>
      <c r="Z85" s="162">
        <f>IF(NSTonghop!$E85&lt;&gt;0,0,NSTonghop!Z85)</f>
        <v>0</v>
      </c>
      <c r="AA85" s="162">
        <f>IF(NSTonghop!$E85&lt;&gt;0,0,NSTonghop!AA85)</f>
        <v>0</v>
      </c>
      <c r="AB85" s="162" t="str">
        <f>IF(NSTonghop!$E85&lt;&gt;0,0,NSTonghop!AB85)</f>
        <v>A/08/Giỏi</v>
      </c>
      <c r="AC85" s="162">
        <f>IF(NSTonghop!$E85&lt;&gt;0,0,NSTonghop!AC85)</f>
        <v>0</v>
      </c>
      <c r="AD85" s="162">
        <f>IF(NSTonghop!$E85&lt;&gt;0,0,NSTonghop!AD85)</f>
        <v>0</v>
      </c>
      <c r="AE85" s="162">
        <f>IF(NSTonghop!$E85&lt;&gt;0,0,NSTonghop!AE85)</f>
        <v>0</v>
      </c>
      <c r="AF85" s="162">
        <f>IF(NSTonghop!$E85&lt;&gt;0,0,NSTonghop!AF85)</f>
        <v>0</v>
      </c>
      <c r="AG85" s="162" t="str">
        <f>IF(NSTonghop!$E85&lt;&gt;0,0,NSTonghop!AG85)</f>
        <v>V.07.04.11</v>
      </c>
      <c r="AH85" s="162" t="str">
        <f>IF(NSTonghop!$E85&lt;&gt;0,0,NSTonghop!AH85)</f>
        <v>CN/07/Khá</v>
      </c>
      <c r="AI85" s="162">
        <f>IF(NSTonghop!$E85&lt;&gt;0,0,NSTonghop!AI85)</f>
        <v>8908006812</v>
      </c>
      <c r="AJ85" s="162">
        <f>IF(NSTonghop!$E85&lt;&gt;0,0,NSTonghop!AJ85)</f>
        <v>351386816</v>
      </c>
      <c r="AK85" s="162" t="str">
        <f>IF(NSTonghop!$E85&lt;&gt;0,0,NSTonghop!AK85)</f>
        <v>21/03/2005</v>
      </c>
      <c r="AL85" s="162" t="str">
        <f>IF(NSTonghop!$E85&lt;&gt;0,0,NSTonghop!AL85)</f>
        <v>01/09/2006</v>
      </c>
      <c r="AM85" s="162" t="str">
        <f>IF(NSTonghop!$E85&lt;&gt;0,0,NSTonghop!AM85)</f>
        <v>04/09/2006</v>
      </c>
      <c r="AN85" s="162" t="str">
        <f>IF(NSTonghop!$E85&lt;&gt;0,0,NSTonghop!AN85)</f>
        <v>01/09/2007</v>
      </c>
      <c r="AO85" s="162">
        <f>IF(NSTonghop!$E85&lt;&gt;0,0,NSTonghop!AO85)</f>
        <v>0</v>
      </c>
      <c r="AP85" s="162">
        <f>IF(NSTonghop!$E85&lt;&gt;0,0,NSTonghop!AP85)</f>
        <v>0</v>
      </c>
      <c r="AQ85" s="162" t="str">
        <f>IF(NSTonghop!$E85&lt;&gt;0,0,NSTonghop!AQ85)</f>
        <v/>
      </c>
      <c r="AR85" s="162">
        <f>IF(NSTonghop!$E85&lt;&gt;0,0,NSTonghop!AR85)</f>
        <v>0</v>
      </c>
      <c r="AS85" s="162">
        <f>IF(NSTonghop!$E85&lt;&gt;0,0,NSTonghop!AS85)</f>
        <v>0</v>
      </c>
      <c r="AT85" s="162">
        <f>IF(NSTonghop!$E85&lt;&gt;0,0,NSTonghop!AT85)</f>
        <v>0</v>
      </c>
      <c r="AU85" s="212"/>
    </row>
    <row r="86" spans="1:47" x14ac:dyDescent="0.25">
      <c r="A86" s="220"/>
      <c r="B86" s="162">
        <f>IF(F86&lt;&gt;0,MAX($B$8:B85)+1,"")</f>
        <v>67</v>
      </c>
      <c r="C86" s="163">
        <f>IF(F86=0,0,MAX($C$84:C85)+1)</f>
        <v>3</v>
      </c>
      <c r="D86" s="441">
        <f>IF(NSTonghop!$E86&lt;&gt;0,0,NSTonghop!D86)</f>
        <v>18665</v>
      </c>
      <c r="E86" s="162">
        <f>IF(NSTonghop!E86&lt;&gt;0,0,0)</f>
        <v>0</v>
      </c>
      <c r="F86" s="162" t="str">
        <f>IF(NSTonghop!$E86&lt;&gt;0,0,NSTonghop!F86)</f>
        <v>Võ Thanh Cần</v>
      </c>
      <c r="G86" s="162">
        <f>IF(NSTonghop!$E86&lt;&gt;0,0,NSTonghop!G86)</f>
        <v>0</v>
      </c>
      <c r="H86" s="162" t="str">
        <f>IF(NSTonghop!$E86&lt;&gt;0,0,NSTonghop!H86)</f>
        <v>19/10/1981</v>
      </c>
      <c r="I86" s="162">
        <f>IF(NSTonghop!$E86&lt;&gt;0,0,NSTonghop!I86)</f>
        <v>0</v>
      </c>
      <c r="J86" s="162">
        <f>IF(NSTonghop!$E86&lt;&gt;0,0,NSTonghop!J86)</f>
        <v>1981</v>
      </c>
      <c r="K86" s="162">
        <f>IF(NSTonghop!$E86&lt;&gt;0,0,NSTonghop!K86)</f>
        <v>0</v>
      </c>
      <c r="L86" s="162" t="str">
        <f>IF(NSTonghop!$E86&lt;&gt;0,0,NSTonghop!L86)</f>
        <v>GV</v>
      </c>
      <c r="M86" s="162">
        <f>IF(NSTonghop!$E86&lt;&gt;0,0,NSTonghop!M86)</f>
        <v>0</v>
      </c>
      <c r="N86" s="162" t="str">
        <f>IF(NSTonghop!$E86&lt;&gt;0,0,NSTonghop!N86)</f>
        <v>Hiếu Nghĩa</v>
      </c>
      <c r="O86" s="162" t="str">
        <f>IF(NSTonghop!$E86&lt;&gt;0,0,NSTonghop!O86)</f>
        <v>Nông dân</v>
      </c>
      <c r="P86" s="162" t="str">
        <f>IF(NSTonghop!$E86&lt;&gt;0,0,NSTonghop!P86)</f>
        <v>Vĩnh Thạnh Trung-AG</v>
      </c>
      <c r="Q86" s="162" t="str">
        <f>IF(NSTonghop!$E86&lt;&gt;0,0,NSTonghop!Q86)</f>
        <v>Vĩnh Thạnh Trung-Châu Phú</v>
      </c>
      <c r="R86" s="162" t="str">
        <f>IF(NSTonghop!$E86&lt;&gt;0,0,NSTonghop!R86)</f>
        <v>Vĩnh Quới-VTT</v>
      </c>
      <c r="S86" s="162" t="str">
        <f>IF(NSTonghop!$E86&lt;&gt;0,0,NSTonghop!S86)</f>
        <v>PTTH/99/TB</v>
      </c>
      <c r="T86" s="162" t="str">
        <f>IF(NSTonghop!$E86&lt;&gt;0,0,NSTonghop!T86)</f>
        <v>CĐ3/TD/04/TB</v>
      </c>
      <c r="U86" s="162" t="str">
        <f>IF(NSTonghop!$E86&lt;&gt;0,0,NSTonghop!U86)</f>
        <v>ĐHCT/TD/08/Khá</v>
      </c>
      <c r="V86" s="162">
        <f>IF(NSTonghop!$E86&lt;&gt;0,0,NSTonghop!V86)</f>
        <v>0</v>
      </c>
      <c r="W86" s="162" t="str">
        <f>IF(NSTonghop!$E86&lt;&gt;0,0,NSTonghop!W86)</f>
        <v>ĐHCT</v>
      </c>
      <c r="X86" s="162" t="str">
        <f>IF(NSTonghop!$E86&lt;&gt;0,0,NSTonghop!X86)</f>
        <v>TD</v>
      </c>
      <c r="Y86" s="162" t="str">
        <f>IF(NSTonghop!$E86&lt;&gt;0,0,NSTonghop!Y86)</f>
        <v>TD</v>
      </c>
      <c r="Z86" s="162">
        <f>IF(NSTonghop!$E86&lt;&gt;0,0,NSTonghop!Z86)</f>
        <v>0</v>
      </c>
      <c r="AA86" s="162">
        <f>IF(NSTonghop!$E86&lt;&gt;0,0,NSTonghop!AA86)</f>
        <v>0</v>
      </c>
      <c r="AB86" s="162" t="str">
        <f>IF(NSTonghop!$E86&lt;&gt;0,0,NSTonghop!AB86)</f>
        <v>A/08/Khá</v>
      </c>
      <c r="AC86" s="162">
        <f>IF(NSTonghop!$E86&lt;&gt;0,0,NSTonghop!AC86)</f>
        <v>0</v>
      </c>
      <c r="AD86" s="162">
        <f>IF(NSTonghop!$E86&lt;&gt;0,0,NSTonghop!AD86)</f>
        <v>0</v>
      </c>
      <c r="AE86" s="162">
        <f>IF(NSTonghop!$E86&lt;&gt;0,0,NSTonghop!AE86)</f>
        <v>0</v>
      </c>
      <c r="AF86" s="162">
        <f>IF(NSTonghop!$E86&lt;&gt;0,0,NSTonghop!AF86)</f>
        <v>0</v>
      </c>
      <c r="AG86" s="162" t="str">
        <f>IF(NSTonghop!$E86&lt;&gt;0,0,NSTonghop!AG86)</f>
        <v>V.07.04.11</v>
      </c>
      <c r="AH86" s="162" t="str">
        <f>IF(NSTonghop!$E86&lt;&gt;0,0,NSTonghop!AH86)</f>
        <v>CN/15/Khá</v>
      </c>
      <c r="AI86" s="162">
        <f>IF(NSTonghop!$E86&lt;&gt;0,0,NSTonghop!AI86)</f>
        <v>5007002478</v>
      </c>
      <c r="AJ86" s="162">
        <f>IF(NSTonghop!$E86&lt;&gt;0,0,NSTonghop!AJ86)</f>
        <v>351360733</v>
      </c>
      <c r="AK86" s="162" t="str">
        <f>IF(NSTonghop!$E86&lt;&gt;0,0,NSTonghop!AK86)</f>
        <v>06/06/2014</v>
      </c>
      <c r="AL86" s="162" t="str">
        <f>IF(NSTonghop!$E86&lt;&gt;0,0,NSTonghop!AL86)</f>
        <v>15/09/2000</v>
      </c>
      <c r="AM86" s="162" t="str">
        <f>IF(NSTonghop!$E86&lt;&gt;0,0,NSTonghop!AM86)</f>
        <v>02/08/2007</v>
      </c>
      <c r="AN86" s="162" t="str">
        <f>IF(NSTonghop!$E86&lt;&gt;0,0,NSTonghop!AN86)</f>
        <v>01/01/2006</v>
      </c>
      <c r="AO86" s="162" t="str">
        <f>IF(NSTonghop!$E86&lt;&gt;0,0,NSTonghop!AO86)</f>
        <v>16/09/2011</v>
      </c>
      <c r="AP86" s="162" t="str">
        <f>IF(NSTonghop!$E86&lt;&gt;0,0,NSTonghop!AP86)</f>
        <v>31.047 726</v>
      </c>
      <c r="AQ86" s="162">
        <f>IF(NSTonghop!$E86&lt;&gt;0,0,NSTonghop!AQ86)</f>
        <v>2011</v>
      </c>
      <c r="AR86" s="162">
        <f>IF(NSTonghop!$E86&lt;&gt;0,0,NSTonghop!AR86)</f>
        <v>0</v>
      </c>
      <c r="AS86" s="162">
        <f>IF(NSTonghop!$E86&lt;&gt;0,0,NSTonghop!AS86)</f>
        <v>0</v>
      </c>
      <c r="AT86" s="162" t="str">
        <f>IF(NSTonghop!$E86&lt;&gt;0,0,NSTonghop!AT86)</f>
        <v>0939775370</v>
      </c>
      <c r="AU86" s="212"/>
    </row>
    <row r="87" spans="1:47" x14ac:dyDescent="0.25">
      <c r="A87" s="220"/>
      <c r="B87" s="162">
        <f>IF(F87&lt;&gt;0,MAX($B$8:B86)+1,"")</f>
        <v>68</v>
      </c>
      <c r="C87" s="163">
        <f>IF(F87=0,0,MAX($C$84:C86)+1)</f>
        <v>4</v>
      </c>
      <c r="D87" s="441">
        <f>IF(NSTonghop!$E87&lt;&gt;0,0,NSTonghop!D87)</f>
        <v>15267</v>
      </c>
      <c r="E87" s="162">
        <f>IF(NSTonghop!E87&lt;&gt;0,0,0)</f>
        <v>0</v>
      </c>
      <c r="F87" s="162" t="str">
        <f>IF(NSTonghop!$E87&lt;&gt;0,0,NSTonghop!F87)</f>
        <v>Lê Hoàng Sơn</v>
      </c>
      <c r="G87" s="162">
        <f>IF(NSTonghop!$E87&lt;&gt;0,0,NSTonghop!G87)</f>
        <v>0</v>
      </c>
      <c r="H87" s="162" t="str">
        <f>IF(NSTonghop!$E87&lt;&gt;0,0,NSTonghop!H87)</f>
        <v>05/04/1979</v>
      </c>
      <c r="I87" s="162">
        <f>IF(NSTonghop!$E87&lt;&gt;0,0,NSTonghop!I87)</f>
        <v>0</v>
      </c>
      <c r="J87" s="162">
        <f>IF(NSTonghop!$E87&lt;&gt;0,0,NSTonghop!J87)</f>
        <v>1979</v>
      </c>
      <c r="K87" s="162">
        <f>IF(NSTonghop!$E87&lt;&gt;0,0,NSTonghop!K87)</f>
        <v>0</v>
      </c>
      <c r="L87" s="162" t="str">
        <f>IF(NSTonghop!$E87&lt;&gt;0,0,NSTonghop!L87)</f>
        <v>GV</v>
      </c>
      <c r="M87" s="162">
        <f>IF(NSTonghop!$E87&lt;&gt;0,0,NSTonghop!M87)</f>
        <v>0</v>
      </c>
      <c r="N87" s="162" t="str">
        <f>IF(NSTonghop!$E87&lt;&gt;0,0,NSTonghop!N87)</f>
        <v>Phật</v>
      </c>
      <c r="O87" s="162" t="str">
        <f>IF(NSTonghop!$E87&lt;&gt;0,0,NSTonghop!O87)</f>
        <v>Nông dân</v>
      </c>
      <c r="P87" s="162" t="str">
        <f>IF(NSTonghop!$E87&lt;&gt;0,0,NSTonghop!P87)</f>
        <v>Cái Dầu-AG</v>
      </c>
      <c r="Q87" s="162" t="str">
        <f>IF(NSTonghop!$E87&lt;&gt;0,0,NSTonghop!Q87)</f>
        <v>Cái Dầu-Châu Phú</v>
      </c>
      <c r="R87" s="162" t="str">
        <f>IF(NSTonghop!$E87&lt;&gt;0,0,NSTonghop!R87)</f>
        <v>3 Vĩnh Phúc-Cái Dầu</v>
      </c>
      <c r="S87" s="162" t="str">
        <f>IF(NSTonghop!$E87&lt;&gt;0,0,NSTonghop!S87)</f>
        <v>PTTH/97/TB</v>
      </c>
      <c r="T87" s="162" t="str">
        <f>IF(NSTonghop!$E87&lt;&gt;0,0,NSTonghop!T87)</f>
        <v>CĐ3/TD/00/Khá</v>
      </c>
      <c r="U87" s="162" t="str">
        <f>IF(NSTonghop!$E87&lt;&gt;0,0,NSTonghop!U87)</f>
        <v>ĐHCT/TD/09/Khá</v>
      </c>
      <c r="V87" s="162">
        <f>IF(NSTonghop!$E87&lt;&gt;0,0,NSTonghop!V87)</f>
        <v>0</v>
      </c>
      <c r="W87" s="162" t="str">
        <f>IF(NSTonghop!$E87&lt;&gt;0,0,NSTonghop!W87)</f>
        <v>ĐHCT</v>
      </c>
      <c r="X87" s="162" t="str">
        <f>IF(NSTonghop!$E87&lt;&gt;0,0,NSTonghop!X87)</f>
        <v>TD</v>
      </c>
      <c r="Y87" s="162" t="str">
        <f>IF(NSTonghop!$E87&lt;&gt;0,0,NSTonghop!Y87)</f>
        <v>TD</v>
      </c>
      <c r="Z87" s="162">
        <f>IF(NSTonghop!$E87&lt;&gt;0,0,NSTonghop!Z87)</f>
        <v>0</v>
      </c>
      <c r="AA87" s="162" t="str">
        <f>IF(NSTonghop!$E87&lt;&gt;0,0,NSTonghop!AA87)</f>
        <v>SC/18</v>
      </c>
      <c r="AB87" s="162" t="str">
        <f>IF(NSTonghop!$E87&lt;&gt;0,0,NSTonghop!AB87)</f>
        <v>A/08/Khá</v>
      </c>
      <c r="AC87" s="162">
        <f>IF(NSTonghop!$E87&lt;&gt;0,0,NSTonghop!AC87)</f>
        <v>0</v>
      </c>
      <c r="AD87" s="162">
        <f>IF(NSTonghop!$E87&lt;&gt;0,0,NSTonghop!AD87)</f>
        <v>0</v>
      </c>
      <c r="AE87" s="162">
        <f>IF(NSTonghop!$E87&lt;&gt;0,0,NSTonghop!AE87)</f>
        <v>0</v>
      </c>
      <c r="AF87" s="162">
        <f>IF(NSTonghop!$E87&lt;&gt;0,0,NSTonghop!AF87)</f>
        <v>0</v>
      </c>
      <c r="AG87" s="162" t="str">
        <f>IF(NSTonghop!$E87&lt;&gt;0,0,NSTonghop!AG87)</f>
        <v>V.07.04.11</v>
      </c>
      <c r="AH87" s="162" t="str">
        <f>IF(NSTonghop!$E87&lt;&gt;0,0,NSTonghop!AH87)</f>
        <v>CN/06/TB</v>
      </c>
      <c r="AI87" s="162">
        <f>IF(NSTonghop!$E87&lt;&gt;0,0,NSTonghop!AI87)</f>
        <v>5098029452</v>
      </c>
      <c r="AJ87" s="162">
        <f>IF(NSTonghop!$E87&lt;&gt;0,0,NSTonghop!AJ87)</f>
        <v>351310097</v>
      </c>
      <c r="AK87" s="162" t="str">
        <f>IF(NSTonghop!$E87&lt;&gt;0,0,NSTonghop!AK87)</f>
        <v>15/07/2009</v>
      </c>
      <c r="AL87" s="162" t="str">
        <f>IF(NSTonghop!$E87&lt;&gt;0,0,NSTonghop!AL87)</f>
        <v>01/09/1998</v>
      </c>
      <c r="AM87" s="162" t="str">
        <f>IF(NSTonghop!$E87&lt;&gt;0,0,NSTonghop!AM87)</f>
        <v>01/09/1998</v>
      </c>
      <c r="AN87" s="162" t="str">
        <f>IF(NSTonghop!$E87&lt;&gt;0,0,NSTonghop!AN87)</f>
        <v>01/04/2001</v>
      </c>
      <c r="AO87" s="162" t="str">
        <f>IF(NSTonghop!$E87&lt;&gt;0,0,NSTonghop!AO87)</f>
        <v>27/12/2003</v>
      </c>
      <c r="AP87" s="162" t="str">
        <f>IF(NSTonghop!$E87&lt;&gt;0,0,NSTonghop!AP87)</f>
        <v>31.026 216</v>
      </c>
      <c r="AQ87" s="162">
        <f>IF(NSTonghop!$E87&lt;&gt;0,0,NSTonghop!AQ87)</f>
        <v>2003</v>
      </c>
      <c r="AR87" s="162">
        <f>IF(NSTonghop!$E87&lt;&gt;0,0,NSTonghop!AR87)</f>
        <v>0</v>
      </c>
      <c r="AS87" s="162">
        <f>IF(NSTonghop!$E87&lt;&gt;0,0,NSTonghop!AS87)</f>
        <v>0</v>
      </c>
      <c r="AT87" s="162">
        <f>IF(NSTonghop!$E87&lt;&gt;0,0,NSTonghop!AT87)</f>
        <v>0</v>
      </c>
      <c r="AU87" s="212"/>
    </row>
    <row r="88" spans="1:47" x14ac:dyDescent="0.25">
      <c r="A88" s="220"/>
      <c r="B88" s="229">
        <f>IF(F88&lt;&gt;0,MAX($B$8:B87)+1,"")</f>
        <v>69</v>
      </c>
      <c r="C88" s="163">
        <f>IF(F88=0,0,MAX($C$84:C87)+1)</f>
        <v>5</v>
      </c>
      <c r="D88" s="441">
        <f>IF(NSTonghop!$E88&lt;&gt;0,0,NSTonghop!D88)</f>
        <v>21768</v>
      </c>
      <c r="E88" s="162">
        <f>IF(NSTonghop!E88&lt;&gt;0,0,0)</f>
        <v>0</v>
      </c>
      <c r="F88" s="162" t="str">
        <f>IF(NSTonghop!$E88&lt;&gt;0,0,NSTonghop!F88)</f>
        <v>Huỳnh Thảo Bích</v>
      </c>
      <c r="G88" s="162" t="str">
        <f>IF(NSTonghop!$E88&lt;&gt;0,0,NSTonghop!G88)</f>
        <v>x</v>
      </c>
      <c r="H88" s="162">
        <f>IF(NSTonghop!$E88&lt;&gt;0,0,NSTonghop!H88)</f>
        <v>0</v>
      </c>
      <c r="I88" s="162" t="str">
        <f>IF(NSTonghop!$E88&lt;&gt;0,0,NSTonghop!I88)</f>
        <v>09/09/1979</v>
      </c>
      <c r="J88" s="162">
        <f>IF(NSTonghop!$E88&lt;&gt;0,0,NSTonghop!J88)</f>
        <v>0</v>
      </c>
      <c r="K88" s="162">
        <f>IF(NSTonghop!$E88&lt;&gt;0,0,NSTonghop!K88)</f>
        <v>1979</v>
      </c>
      <c r="L88" s="162" t="str">
        <f>IF(NSTonghop!$E88&lt;&gt;0,0,NSTonghop!L88)</f>
        <v>GV</v>
      </c>
      <c r="M88" s="162">
        <f>IF(NSTonghop!$E88&lt;&gt;0,0,NSTonghop!M88)</f>
        <v>0</v>
      </c>
      <c r="N88" s="162" t="str">
        <f>IF(NSTonghop!$E88&lt;&gt;0,0,NSTonghop!N88)</f>
        <v>Phật</v>
      </c>
      <c r="O88" s="162" t="str">
        <f>IF(NSTonghop!$E88&lt;&gt;0,0,NSTonghop!O88)</f>
        <v>Viên chức</v>
      </c>
      <c r="P88" s="162" t="str">
        <f>IF(NSTonghop!$E88&lt;&gt;0,0,NSTonghop!P88)</f>
        <v>Mỹ Đức-An Giang</v>
      </c>
      <c r="Q88" s="162" t="str">
        <f>IF(NSTonghop!$E88&lt;&gt;0,0,NSTonghop!Q88)</f>
        <v>Mỹ Đức-Châu Phú</v>
      </c>
      <c r="R88" s="162" t="str">
        <f>IF(NSTonghop!$E88&lt;&gt;0,0,NSTonghop!R88)</f>
        <v>237/5 Mỹ Thiện-Mỹ Đức</v>
      </c>
      <c r="S88" s="162" t="str">
        <f>IF(NSTonghop!$E88&lt;&gt;0,0,NSTonghop!S88)</f>
        <v>PTTH/99/TB</v>
      </c>
      <c r="T88" s="162" t="str">
        <f>IF(NSTonghop!$E88&lt;&gt;0,0,NSTonghop!T88)</f>
        <v>CĐ3/Nhạc/02/Khá</v>
      </c>
      <c r="U88" s="162" t="str">
        <f>IF(NSTonghop!$E88&lt;&gt;0,0,NSTonghop!U88)</f>
        <v>ĐHTC/Nhạc/16/Khá</v>
      </c>
      <c r="V88" s="162">
        <f>IF(NSTonghop!$E88&lt;&gt;0,0,NSTonghop!V88)</f>
        <v>0</v>
      </c>
      <c r="W88" s="162" t="str">
        <f>IF(NSTonghop!$E88&lt;&gt;0,0,NSTonghop!W88)</f>
        <v>ĐHTC</v>
      </c>
      <c r="X88" s="162" t="str">
        <f>IF(NSTonghop!$E88&lt;&gt;0,0,NSTonghop!X88)</f>
        <v>Nhạc</v>
      </c>
      <c r="Y88" s="162" t="str">
        <f>IF(NSTonghop!$E88&lt;&gt;0,0,NSTonghop!Y88)</f>
        <v>Nhạc</v>
      </c>
      <c r="Z88" s="162">
        <f>IF(NSTonghop!$E88&lt;&gt;0,0,NSTonghop!Z88)</f>
        <v>0</v>
      </c>
      <c r="AA88" s="162" t="str">
        <f>IF(NSTonghop!$E88&lt;&gt;0,0,NSTonghop!AA88)</f>
        <v>SC/18/G</v>
      </c>
      <c r="AB88" s="162" t="str">
        <f>IF(NSTonghop!$E88&lt;&gt;0,0,NSTonghop!AB88)</f>
        <v>A/08/Giỏi</v>
      </c>
      <c r="AC88" s="162" t="str">
        <f>IF(NSTonghop!$E88&lt;&gt;0,0,NSTonghop!AC88)</f>
        <v>B/Anh/15/TB</v>
      </c>
      <c r="AD88" s="162">
        <f>IF(NSTonghop!$E88&lt;&gt;0,0,NSTonghop!AD88)</f>
        <v>0</v>
      </c>
      <c r="AE88" s="162">
        <f>IF(NSTonghop!$E88&lt;&gt;0,0,NSTonghop!AE88)</f>
        <v>0</v>
      </c>
      <c r="AF88" s="162">
        <f>IF(NSTonghop!$E88&lt;&gt;0,0,NSTonghop!AF88)</f>
        <v>0</v>
      </c>
      <c r="AG88" s="162" t="str">
        <f>IF(NSTonghop!$E88&lt;&gt;0,0,NSTonghop!AG88)</f>
        <v>V.07.04.11</v>
      </c>
      <c r="AH88" s="162" t="str">
        <f>IF(NSTonghop!$E88&lt;&gt;0,0,NSTonghop!AH88)</f>
        <v>CN/07/Khá</v>
      </c>
      <c r="AI88" s="162">
        <f>IF(NSTonghop!$E88&lt;&gt;0,0,NSTonghop!AI88)</f>
        <v>5003000275</v>
      </c>
      <c r="AJ88" s="162">
        <f>IF(NSTonghop!$E88&lt;&gt;0,0,NSTonghop!AJ88)</f>
        <v>351417482</v>
      </c>
      <c r="AK88" s="162" t="str">
        <f>IF(NSTonghop!$E88&lt;&gt;0,0,NSTonghop!AK88)</f>
        <v>12/03/2012</v>
      </c>
      <c r="AL88" s="162" t="str">
        <f>IF(NSTonghop!$E88&lt;&gt;0,0,NSTonghop!AL88)</f>
        <v>01/09/2002</v>
      </c>
      <c r="AM88" s="162" t="str">
        <f>IF(NSTonghop!$E88&lt;&gt;0,0,NSTonghop!AM88)</f>
        <v>01/09/2002</v>
      </c>
      <c r="AN88" s="162" t="str">
        <f>IF(NSTonghop!$E88&lt;&gt;0,0,NSTonghop!AN88)</f>
        <v>01/03/2003</v>
      </c>
      <c r="AO88" s="162" t="str">
        <f>IF(NSTonghop!$E88&lt;&gt;0,0,NSTonghop!AO88)</f>
        <v>24/08/2013</v>
      </c>
      <c r="AP88" s="162" t="str">
        <f>IF(NSTonghop!$E88&lt;&gt;0,0,NSTonghop!AP88)</f>
        <v>31.054 653</v>
      </c>
      <c r="AQ88" s="162">
        <f>IF(NSTonghop!$E88&lt;&gt;0,0,NSTonghop!AQ88)</f>
        <v>2013</v>
      </c>
      <c r="AR88" s="162" t="str">
        <f>IF(NSTonghop!$E88&lt;&gt;0,0,NSTonghop!AR88)</f>
        <v>26/3/1995</v>
      </c>
      <c r="AS88" s="162" t="str">
        <f>IF(NSTonghop!$E88&lt;&gt;0,0,NSTonghop!AS88)</f>
        <v>?</v>
      </c>
      <c r="AT88" s="162" t="str">
        <f>IF(NSTonghop!$E88&lt;&gt;0,0,NSTonghop!AT88)</f>
        <v>0795989567</v>
      </c>
      <c r="AU88" s="212"/>
    </row>
    <row r="89" spans="1:47" x14ac:dyDescent="0.25">
      <c r="A89" s="220"/>
      <c r="B89" s="162">
        <f>IF(F89&lt;&gt;0,MAX($B$8:B88)+1,"")</f>
        <v>70</v>
      </c>
      <c r="C89" s="163">
        <f>IF(F89=0,0,MAX($C$84:C88)+1)</f>
        <v>6</v>
      </c>
      <c r="D89" s="441" t="str">
        <f>IF(NSTonghop!$E89&lt;&gt;0,0,NSTonghop!D89)</f>
        <v>x</v>
      </c>
      <c r="E89" s="162">
        <f>IF(NSTonghop!E89&lt;&gt;0,0,0)</f>
        <v>0</v>
      </c>
      <c r="F89" s="162" t="str">
        <f>IF(NSTonghop!$E89&lt;&gt;0,0,NSTonghop!F89)</f>
        <v>Phan Thị Anh Kim</v>
      </c>
      <c r="G89" s="162" t="str">
        <f>IF(NSTonghop!$E89&lt;&gt;0,0,NSTonghop!G89)</f>
        <v>x</v>
      </c>
      <c r="H89" s="162">
        <f>IF(NSTonghop!$E89&lt;&gt;0,0,NSTonghop!H89)</f>
        <v>0</v>
      </c>
      <c r="I89" s="162" t="str">
        <f>IF(NSTonghop!$E89&lt;&gt;0,0,NSTonghop!I89)</f>
        <v>27/07/1990</v>
      </c>
      <c r="J89" s="162">
        <f>IF(NSTonghop!$E89&lt;&gt;0,0,NSTonghop!J89)</f>
        <v>0</v>
      </c>
      <c r="K89" s="162">
        <f>IF(NSTonghop!$E89&lt;&gt;0,0,NSTonghop!K89)</f>
        <v>1990</v>
      </c>
      <c r="L89" s="162" t="str">
        <f>IF(NSTonghop!$E89&lt;&gt;0,0,NSTonghop!L89)</f>
        <v>GV</v>
      </c>
      <c r="M89" s="162">
        <f>IF(NSTonghop!$E89&lt;&gt;0,0,NSTonghop!M89)</f>
        <v>0</v>
      </c>
      <c r="N89" s="162" t="str">
        <f>IF(NSTonghop!$E89&lt;&gt;0,0,NSTonghop!N89)</f>
        <v>Hòa hảo</v>
      </c>
      <c r="O89" s="162" t="str">
        <f>IF(NSTonghop!$E89&lt;&gt;0,0,NSTonghop!O89)</f>
        <v>Nông dân</v>
      </c>
      <c r="P89" s="162" t="str">
        <f>IF(NSTonghop!$E89&lt;&gt;0,0,NSTonghop!P89)</f>
        <v>Vĩnh Thạnh Trung-AG</v>
      </c>
      <c r="Q89" s="162" t="str">
        <f>IF(NSTonghop!$E89&lt;&gt;0,0,NSTonghop!Q89)</f>
        <v>Vĩnh Thạnh Trung-Châu Phú</v>
      </c>
      <c r="R89" s="162" t="str">
        <f>IF(NSTonghop!$E89&lt;&gt;0,0,NSTonghop!R89)</f>
        <v>30/1 Thạnh An-VTT</v>
      </c>
      <c r="S89" s="162" t="str">
        <f>IF(NSTonghop!$E89&lt;&gt;0,0,NSTonghop!S89)</f>
        <v>PTTH/08/TB</v>
      </c>
      <c r="T89" s="162" t="str">
        <f>IF(NSTonghop!$E89&lt;&gt;0,0,NSTonghop!T89)</f>
        <v>CĐ3/Nhạc/12/Khá</v>
      </c>
      <c r="U89" s="162" t="str">
        <f>IF(NSTonghop!$E89&lt;&gt;0,0,NSTonghop!U89)</f>
        <v>ĐHTC/Nhạc/15/Khá</v>
      </c>
      <c r="V89" s="162">
        <f>IF(NSTonghop!$E89&lt;&gt;0,0,NSTonghop!V89)</f>
        <v>0</v>
      </c>
      <c r="W89" s="162" t="str">
        <f>IF(NSTonghop!$E89&lt;&gt;0,0,NSTonghop!W89)</f>
        <v>ĐHTC</v>
      </c>
      <c r="X89" s="162" t="str">
        <f>IF(NSTonghop!$E89&lt;&gt;0,0,NSTonghop!X89)</f>
        <v>Nhạc</v>
      </c>
      <c r="Y89" s="162" t="str">
        <f>IF(NSTonghop!$E89&lt;&gt;0,0,NSTonghop!Y89)</f>
        <v>Nhạc</v>
      </c>
      <c r="Z89" s="162">
        <f>IF(NSTonghop!$E89&lt;&gt;0,0,NSTonghop!Z89)</f>
        <v>0</v>
      </c>
      <c r="AA89" s="162">
        <f>IF(NSTonghop!$E89&lt;&gt;0,0,NSTonghop!AA89)</f>
        <v>0</v>
      </c>
      <c r="AB89" s="162">
        <f>IF(NSTonghop!$E89&lt;&gt;0,0,NSTonghop!AB89)</f>
        <v>0</v>
      </c>
      <c r="AC89" s="162">
        <f>IF(NSTonghop!$E89&lt;&gt;0,0,NSTonghop!AC89)</f>
        <v>0</v>
      </c>
      <c r="AD89" s="162">
        <f>IF(NSTonghop!$E89&lt;&gt;0,0,NSTonghop!AD89)</f>
        <v>0</v>
      </c>
      <c r="AE89" s="162">
        <f>IF(NSTonghop!$E89&lt;&gt;0,0,NSTonghop!AE89)</f>
        <v>0</v>
      </c>
      <c r="AF89" s="162">
        <f>IF(NSTonghop!$E89&lt;&gt;0,0,NSTonghop!AF89)</f>
        <v>0</v>
      </c>
      <c r="AG89" s="162" t="str">
        <f>IF(NSTonghop!$E89&lt;&gt;0,0,NSTonghop!AG89)</f>
        <v>V.07.04.11</v>
      </c>
      <c r="AH89" s="162">
        <f>IF(NSTonghop!$E89&lt;&gt;0,0,NSTonghop!AH89)</f>
        <v>0</v>
      </c>
      <c r="AI89" s="162">
        <f>IF(NSTonghop!$E89&lt;&gt;0,0,NSTonghop!AI89)</f>
        <v>8912008636</v>
      </c>
      <c r="AJ89" s="162">
        <f>IF(NSTonghop!$E89&lt;&gt;0,0,NSTonghop!AJ89)</f>
        <v>351923455</v>
      </c>
      <c r="AK89" s="162" t="str">
        <f>IF(NSTonghop!$E89&lt;&gt;0,0,NSTonghop!AK89)</f>
        <v>07/10/2008</v>
      </c>
      <c r="AL89" s="162" t="str">
        <f>IF(NSTonghop!$E89&lt;&gt;0,0,NSTonghop!AL89)</f>
        <v>01/09/2012</v>
      </c>
      <c r="AM89" s="162" t="str">
        <f>IF(NSTonghop!$E89&lt;&gt;0,0,NSTonghop!AM89)</f>
        <v>01/08/2014</v>
      </c>
      <c r="AN89" s="162" t="str">
        <f>IF(NSTonghop!$E89&lt;&gt;0,0,NSTonghop!AN89)</f>
        <v>01/09/2013</v>
      </c>
      <c r="AO89" s="162">
        <f>IF(NSTonghop!$E89&lt;&gt;0,0,NSTonghop!AO89)</f>
        <v>0</v>
      </c>
      <c r="AP89" s="162">
        <f>IF(NSTonghop!$E89&lt;&gt;0,0,NSTonghop!AP89)</f>
        <v>0</v>
      </c>
      <c r="AQ89" s="162" t="str">
        <f>IF(NSTonghop!$E89&lt;&gt;0,0,NSTonghop!AQ89)</f>
        <v/>
      </c>
      <c r="AR89" s="162">
        <f>IF(NSTonghop!$E89&lt;&gt;0,0,NSTonghop!AR89)</f>
        <v>0</v>
      </c>
      <c r="AS89" s="162">
        <f>IF(NSTonghop!$E89&lt;&gt;0,0,NSTonghop!AS89)</f>
        <v>41169</v>
      </c>
      <c r="AT89" s="162" t="str">
        <f>IF(NSTonghop!$E89&lt;&gt;0,0,NSTonghop!AT89)</f>
        <v>0358441944</v>
      </c>
      <c r="AU89" s="212"/>
    </row>
    <row r="90" spans="1:47" x14ac:dyDescent="0.25">
      <c r="A90" s="220"/>
      <c r="B90" s="162">
        <f>IF(F90&lt;&gt;0,MAX($B$8:B89)+1,"")</f>
        <v>71</v>
      </c>
      <c r="C90" s="163">
        <f>IF(F90=0,0,MAX($C$84:C89)+1)</f>
        <v>7</v>
      </c>
      <c r="D90" s="441">
        <f>IF(NSTonghop!$E90&lt;&gt;0,0,NSTonghop!D90)</f>
        <v>29679</v>
      </c>
      <c r="E90" s="162">
        <f>IF(NSTonghop!E90&lt;&gt;0,0,0)</f>
        <v>0</v>
      </c>
      <c r="F90" s="162" t="str">
        <f>IF(NSTonghop!$E90&lt;&gt;0,0,NSTonghop!F90)</f>
        <v>Phan Công Trình</v>
      </c>
      <c r="G90" s="162">
        <f>IF(NSTonghop!$E90&lt;&gt;0,0,NSTonghop!G90)</f>
        <v>0</v>
      </c>
      <c r="H90" s="162" t="str">
        <f>IF(NSTonghop!$E90&lt;&gt;0,0,NSTonghop!H90)</f>
        <v>23/08/1983</v>
      </c>
      <c r="I90" s="162">
        <f>IF(NSTonghop!$E90&lt;&gt;0,0,NSTonghop!I90)</f>
        <v>0</v>
      </c>
      <c r="J90" s="162">
        <f>IF(NSTonghop!$E90&lt;&gt;0,0,NSTonghop!J90)</f>
        <v>1983</v>
      </c>
      <c r="K90" s="162">
        <f>IF(NSTonghop!$E90&lt;&gt;0,0,NSTonghop!K90)</f>
        <v>0</v>
      </c>
      <c r="L90" s="162" t="str">
        <f>IF(NSTonghop!$E90&lt;&gt;0,0,NSTonghop!L90)</f>
        <v>GV</v>
      </c>
      <c r="M90" s="162">
        <f>IF(NSTonghop!$E90&lt;&gt;0,0,NSTonghop!M90)</f>
        <v>0</v>
      </c>
      <c r="N90" s="162" t="str">
        <f>IF(NSTonghop!$E90&lt;&gt;0,0,NSTonghop!N90)</f>
        <v>Hòa hảo</v>
      </c>
      <c r="O90" s="162" t="str">
        <f>IF(NSTonghop!$E90&lt;&gt;0,0,NSTonghop!O90)</f>
        <v>Nông dân</v>
      </c>
      <c r="P90" s="162" t="str">
        <f>IF(NSTonghop!$E90&lt;&gt;0,0,NSTonghop!P90)</f>
        <v>Vĩnh Thạnh Trung-AG</v>
      </c>
      <c r="Q90" s="162" t="str">
        <f>IF(NSTonghop!$E90&lt;&gt;0,0,NSTonghop!Q90)</f>
        <v>Vĩnh Thạnh Trung-Châu Phú</v>
      </c>
      <c r="R90" s="162" t="str">
        <f>IF(NSTonghop!$E90&lt;&gt;0,0,NSTonghop!R90)</f>
        <v>Thạnh Lợi-VTT</v>
      </c>
      <c r="S90" s="162" t="str">
        <f>IF(NSTonghop!$E90&lt;&gt;0,0,NSTonghop!S90)</f>
        <v>PTTH/02/TB</v>
      </c>
      <c r="T90" s="162" t="str">
        <f>IF(NSTonghop!$E90&lt;&gt;0,0,NSTonghop!T90)</f>
        <v>CĐ3/MT/06/TB</v>
      </c>
      <c r="U90" s="162" t="str">
        <f>IF(NSTonghop!$E90&lt;&gt;0,0,NSTonghop!U90)</f>
        <v>ĐHTC/MT/15/Khá</v>
      </c>
      <c r="V90" s="162">
        <f>IF(NSTonghop!$E90&lt;&gt;0,0,NSTonghop!V90)</f>
        <v>0</v>
      </c>
      <c r="W90" s="162" t="str">
        <f>IF(NSTonghop!$E90&lt;&gt;0,0,NSTonghop!W90)</f>
        <v>ĐHTC</v>
      </c>
      <c r="X90" s="162" t="str">
        <f>IF(NSTonghop!$E90&lt;&gt;0,0,NSTonghop!X90)</f>
        <v>MT</v>
      </c>
      <c r="Y90" s="162" t="str">
        <f>IF(NSTonghop!$E90&lt;&gt;0,0,NSTonghop!Y90)</f>
        <v>MT</v>
      </c>
      <c r="Z90" s="162">
        <f>IF(NSTonghop!$E90&lt;&gt;0,0,NSTonghop!Z90)</f>
        <v>0</v>
      </c>
      <c r="AA90" s="162">
        <f>IF(NSTonghop!$E90&lt;&gt;0,0,NSTonghop!AA90)</f>
        <v>0</v>
      </c>
      <c r="AB90" s="162" t="str">
        <f>IF(NSTonghop!$E90&lt;&gt;0,0,NSTonghop!AB90)</f>
        <v>A/07/Giỏi</v>
      </c>
      <c r="AC90" s="162">
        <f>IF(NSTonghop!$E90&lt;&gt;0,0,NSTonghop!AC90)</f>
        <v>0</v>
      </c>
      <c r="AD90" s="162">
        <f>IF(NSTonghop!$E90&lt;&gt;0,0,NSTonghop!AD90)</f>
        <v>0</v>
      </c>
      <c r="AE90" s="162">
        <f>IF(NSTonghop!$E90&lt;&gt;0,0,NSTonghop!AE90)</f>
        <v>0</v>
      </c>
      <c r="AF90" s="162">
        <f>IF(NSTonghop!$E90&lt;&gt;0,0,NSTonghop!AF90)</f>
        <v>0</v>
      </c>
      <c r="AG90" s="162" t="str">
        <f>IF(NSTonghop!$E90&lt;&gt;0,0,NSTonghop!AG90)</f>
        <v>V.07.04.11</v>
      </c>
      <c r="AH90" s="162">
        <f>IF(NSTonghop!$E90&lt;&gt;0,0,NSTonghop!AH90)</f>
        <v>0</v>
      </c>
      <c r="AI90" s="162">
        <f>IF(NSTonghop!$E90&lt;&gt;0,0,NSTonghop!AI90)</f>
        <v>5007000313</v>
      </c>
      <c r="AJ90" s="162">
        <f>IF(NSTonghop!$E90&lt;&gt;0,0,NSTonghop!AJ90)</f>
        <v>351466707</v>
      </c>
      <c r="AK90" s="162" t="str">
        <f>IF(NSTonghop!$E90&lt;&gt;0,0,NSTonghop!AK90)</f>
        <v>14/11/2013</v>
      </c>
      <c r="AL90" s="162" t="str">
        <f>IF(NSTonghop!$E90&lt;&gt;0,0,NSTonghop!AL90)</f>
        <v>01/09/2006</v>
      </c>
      <c r="AM90" s="162" t="str">
        <f>IF(NSTonghop!$E90&lt;&gt;0,0,NSTonghop!AM90)</f>
        <v>01/10/2015</v>
      </c>
      <c r="AN90" s="162" t="str">
        <f>IF(NSTonghop!$E90&lt;&gt;0,0,NSTonghop!AN90)</f>
        <v>01/09/2007</v>
      </c>
      <c r="AO90" s="162">
        <f>IF(NSTonghop!$E90&lt;&gt;0,0,NSTonghop!AO90)</f>
        <v>0</v>
      </c>
      <c r="AP90" s="162">
        <f>IF(NSTonghop!$E90&lt;&gt;0,0,NSTonghop!AP90)</f>
        <v>0</v>
      </c>
      <c r="AQ90" s="162" t="str">
        <f>IF(NSTonghop!$E90&lt;&gt;0,0,NSTonghop!AQ90)</f>
        <v/>
      </c>
      <c r="AR90" s="162">
        <f>IF(NSTonghop!$E90&lt;&gt;0,0,NSTonghop!AR90)</f>
        <v>0</v>
      </c>
      <c r="AS90" s="162">
        <f>IF(NSTonghop!$E90&lt;&gt;0,0,NSTonghop!AS90)</f>
        <v>0</v>
      </c>
      <c r="AT90" s="162" t="str">
        <f>IF(NSTonghop!$E90&lt;&gt;0,0,NSTonghop!AT90)</f>
        <v>0988875187</v>
      </c>
      <c r="AU90" s="212"/>
    </row>
    <row r="91" spans="1:47" x14ac:dyDescent="0.25">
      <c r="A91" s="220"/>
      <c r="B91" s="173">
        <f>IF(F91&lt;&gt;0,MAX($B$8:B90)+1,"")</f>
        <v>72</v>
      </c>
      <c r="C91" s="174">
        <f>IF(F91=0,0,MAX($C$84:C90)+1)</f>
        <v>8</v>
      </c>
      <c r="D91" s="442">
        <f>IF(NSTonghop!$E91&lt;&gt;0,0,NSTonghop!D91)</f>
        <v>23340</v>
      </c>
      <c r="E91" s="173">
        <f>IF(NSTonghop!E91&lt;&gt;0,0,0)</f>
        <v>0</v>
      </c>
      <c r="F91" s="173" t="str">
        <f>IF(NSTonghop!$E91&lt;&gt;0,0,NSTonghop!F91)</f>
        <v>Phạm Tấn Phong</v>
      </c>
      <c r="G91" s="173">
        <f>IF(NSTonghop!$E91&lt;&gt;0,0,NSTonghop!G91)</f>
        <v>0</v>
      </c>
      <c r="H91" s="173" t="str">
        <f>IF(NSTonghop!$E91&lt;&gt;0,0,NSTonghop!H91)</f>
        <v>16/06/1981</v>
      </c>
      <c r="I91" s="173">
        <f>IF(NSTonghop!$E91&lt;&gt;0,0,NSTonghop!I91)</f>
        <v>0</v>
      </c>
      <c r="J91" s="173">
        <f>IF(NSTonghop!$E91&lt;&gt;0,0,NSTonghop!J91)</f>
        <v>1981</v>
      </c>
      <c r="K91" s="173">
        <f>IF(NSTonghop!$E91&lt;&gt;0,0,NSTonghop!K91)</f>
        <v>0</v>
      </c>
      <c r="L91" s="173" t="str">
        <f>IF(NSTonghop!$E91&lt;&gt;0,0,NSTonghop!L91)</f>
        <v>GV</v>
      </c>
      <c r="M91" s="173">
        <f>IF(NSTonghop!$E91&lt;&gt;0,0,NSTonghop!M91)</f>
        <v>0</v>
      </c>
      <c r="N91" s="173" t="str">
        <f>IF(NSTonghop!$E91&lt;&gt;0,0,NSTonghop!N91)</f>
        <v>Hòa Hảo</v>
      </c>
      <c r="O91" s="173" t="str">
        <f>IF(NSTonghop!$E91&lt;&gt;0,0,NSTonghop!O91)</f>
        <v>Tiểu thương</v>
      </c>
      <c r="P91" s="173" t="str">
        <f>IF(NSTonghop!$E91&lt;&gt;0,0,NSTonghop!P91)</f>
        <v>Cái Dầu-AG</v>
      </c>
      <c r="Q91" s="173" t="str">
        <f>IF(NSTonghop!$E91&lt;&gt;0,0,NSTonghop!Q91)</f>
        <v>Vĩnh Thạnh Trung-Châu Phú</v>
      </c>
      <c r="R91" s="173" t="str">
        <f>IF(NSTonghop!$E91&lt;&gt;0,0,NSTonghop!R91)</f>
        <v>9 Hai Bà Trưng-Cái Dầu</v>
      </c>
      <c r="S91" s="173" t="str">
        <f>IF(NSTonghop!$E91&lt;&gt;0,0,NSTonghop!S91)</f>
        <v>PTTH/99/TB</v>
      </c>
      <c r="T91" s="173" t="str">
        <f>IF(NSTonghop!$E91&lt;&gt;0,0,NSTonghop!T91)</f>
        <v>CĐ3/MT/03/Khá</v>
      </c>
      <c r="U91" s="173" t="str">
        <f>IF(NSTonghop!$E91&lt;&gt;0,0,NSTonghop!U91)</f>
        <v>ĐHTC/MT/16/Giỏi</v>
      </c>
      <c r="V91" s="173">
        <f>IF(NSTonghop!$E91&lt;&gt;0,0,NSTonghop!V91)</f>
        <v>0</v>
      </c>
      <c r="W91" s="173" t="str">
        <f>IF(NSTonghop!$E91&lt;&gt;0,0,NSTonghop!W91)</f>
        <v>ĐHTC</v>
      </c>
      <c r="X91" s="173" t="str">
        <f>IF(NSTonghop!$E91&lt;&gt;0,0,NSTonghop!X91)</f>
        <v>MT</v>
      </c>
      <c r="Y91" s="173" t="str">
        <f>IF(NSTonghop!$E91&lt;&gt;0,0,NSTonghop!Y91)</f>
        <v>MT</v>
      </c>
      <c r="Z91" s="173">
        <f>IF(NSTonghop!$E91&lt;&gt;0,0,NSTonghop!Z91)</f>
        <v>0</v>
      </c>
      <c r="AA91" s="173">
        <f>IF(NSTonghop!$E91&lt;&gt;0,0,NSTonghop!AA91)</f>
        <v>0</v>
      </c>
      <c r="AB91" s="173">
        <f>IF(NSTonghop!$E91&lt;&gt;0,0,NSTonghop!AB91)</f>
        <v>0</v>
      </c>
      <c r="AC91" s="173">
        <f>IF(NSTonghop!$E91&lt;&gt;0,0,NSTonghop!AC91)</f>
        <v>0</v>
      </c>
      <c r="AD91" s="173">
        <f>IF(NSTonghop!$E91&lt;&gt;0,0,NSTonghop!AD91)</f>
        <v>0</v>
      </c>
      <c r="AE91" s="173">
        <f>IF(NSTonghop!$E91&lt;&gt;0,0,NSTonghop!AE91)</f>
        <v>0</v>
      </c>
      <c r="AF91" s="173">
        <f>IF(NSTonghop!$E91&lt;&gt;0,0,NSTonghop!AF91)</f>
        <v>0</v>
      </c>
      <c r="AG91" s="173" t="str">
        <f>IF(NSTonghop!$E91&lt;&gt;0,0,NSTonghop!AG91)</f>
        <v>V.07.04.11</v>
      </c>
      <c r="AH91" s="173">
        <f>IF(NSTonghop!$E91&lt;&gt;0,0,NSTonghop!AH91)</f>
        <v>0</v>
      </c>
      <c r="AI91" s="173">
        <f>IF(NSTonghop!$E91&lt;&gt;0,0,NSTonghop!AI91)</f>
        <v>5004003303</v>
      </c>
      <c r="AJ91" s="173">
        <f>IF(NSTonghop!$E91&lt;&gt;0,0,NSTonghop!AJ91)</f>
        <v>351421879</v>
      </c>
      <c r="AK91" s="173" t="str">
        <f>IF(NSTonghop!$E91&lt;&gt;0,0,NSTonghop!AK91)</f>
        <v>16/10/2015</v>
      </c>
      <c r="AL91" s="173" t="str">
        <f>IF(NSTonghop!$E91&lt;&gt;0,0,NSTonghop!AL91)</f>
        <v>01/09/2003</v>
      </c>
      <c r="AM91" s="173" t="str">
        <f>IF(NSTonghop!$E91&lt;&gt;0,0,NSTonghop!AM91)</f>
        <v>01/09/2003</v>
      </c>
      <c r="AN91" s="173" t="str">
        <f>IF(NSTonghop!$E91&lt;&gt;0,0,NSTonghop!AN91)</f>
        <v>01/03/2004</v>
      </c>
      <c r="AO91" s="173">
        <f>IF(NSTonghop!$E91&lt;&gt;0,0,NSTonghop!AO91)</f>
        <v>0</v>
      </c>
      <c r="AP91" s="173">
        <f>IF(NSTonghop!$E91&lt;&gt;0,0,NSTonghop!AP91)</f>
        <v>0</v>
      </c>
      <c r="AQ91" s="173" t="str">
        <f>IF(NSTonghop!$E91&lt;&gt;0,0,NSTonghop!AQ91)</f>
        <v/>
      </c>
      <c r="AR91" s="173">
        <f>IF(NSTonghop!$E91&lt;&gt;0,0,NSTonghop!AR91)</f>
        <v>0</v>
      </c>
      <c r="AS91" s="173">
        <f>IF(NSTonghop!$E91&lt;&gt;0,0,NSTonghop!AS91)</f>
        <v>0</v>
      </c>
      <c r="AT91" s="173" t="str">
        <f>IF(NSTonghop!$E91&lt;&gt;0,0,NSTonghop!AT91)</f>
        <v>0946337321</v>
      </c>
      <c r="AU91" s="212"/>
    </row>
    <row r="92" spans="1:47" x14ac:dyDescent="0.25">
      <c r="A92" s="220"/>
      <c r="B92" s="151" t="str">
        <f>IF(F92&lt;&gt;0,MAX($B$8:B91)+1,"")</f>
        <v/>
      </c>
      <c r="C92" s="190"/>
      <c r="D92" s="153">
        <f>IF(NSTonghop!$E92&lt;&gt;0,0,NSTonghop!D92)</f>
        <v>0</v>
      </c>
      <c r="E92" s="151">
        <f>IF(NSTonghop!E92&lt;&gt;0,0,0)</f>
        <v>0</v>
      </c>
      <c r="F92" s="151">
        <f>IF(NSTonghop!$E92&lt;&gt;0,0,NSTonghop!F92)</f>
        <v>0</v>
      </c>
      <c r="G92" s="151">
        <f>IF(NSTonghop!$E92&lt;&gt;0,0,NSTonghop!G92)</f>
        <v>0</v>
      </c>
      <c r="H92" s="151">
        <f>IF(NSTonghop!$E92&lt;&gt;0,0,NSTonghop!H92)</f>
        <v>0</v>
      </c>
      <c r="I92" s="151">
        <f>IF(NSTonghop!$E92&lt;&gt;0,0,NSTonghop!I92)</f>
        <v>0</v>
      </c>
      <c r="J92" s="151">
        <f>IF(NSTonghop!$E92&lt;&gt;0,0,NSTonghop!J92)</f>
        <v>0</v>
      </c>
      <c r="K92" s="151">
        <f>IF(NSTonghop!$E92&lt;&gt;0,0,NSTonghop!K92)</f>
        <v>0</v>
      </c>
      <c r="L92" s="151">
        <f>IF(NSTonghop!$E92&lt;&gt;0,0,NSTonghop!L92)</f>
        <v>0</v>
      </c>
      <c r="M92" s="151">
        <f>IF(NSTonghop!$E92&lt;&gt;0,0,NSTonghop!M92)</f>
        <v>0</v>
      </c>
      <c r="N92" s="151">
        <f>IF(NSTonghop!$E92&lt;&gt;0,0,NSTonghop!N92)</f>
        <v>0</v>
      </c>
      <c r="O92" s="151">
        <f>IF(NSTonghop!$E92&lt;&gt;0,0,NSTonghop!O92)</f>
        <v>0</v>
      </c>
      <c r="P92" s="151">
        <f>IF(NSTonghop!$E92&lt;&gt;0,0,NSTonghop!P92)</f>
        <v>0</v>
      </c>
      <c r="Q92" s="151">
        <f>IF(NSTonghop!$E92&lt;&gt;0,0,NSTonghop!Q92)</f>
        <v>0</v>
      </c>
      <c r="R92" s="151">
        <f>IF(NSTonghop!$E92&lt;&gt;0,0,NSTonghop!R92)</f>
        <v>0</v>
      </c>
      <c r="S92" s="151">
        <f>IF(NSTonghop!$E92&lt;&gt;0,0,NSTonghop!S92)</f>
        <v>0</v>
      </c>
      <c r="T92" s="151">
        <f>IF(NSTonghop!$E92&lt;&gt;0,0,NSTonghop!T92)</f>
        <v>0</v>
      </c>
      <c r="U92" s="151">
        <f>IF(NSTonghop!$E92&lt;&gt;0,0,NSTonghop!U92)</f>
        <v>0</v>
      </c>
      <c r="V92" s="151">
        <f>IF(NSTonghop!$E92&lt;&gt;0,0,NSTonghop!V92)</f>
        <v>0</v>
      </c>
      <c r="W92" s="151" t="str">
        <f>IF(NSTonghop!$E92&lt;&gt;0,0,NSTonghop!W92)</f>
        <v/>
      </c>
      <c r="X92" s="151">
        <f>IF(NSTonghop!$E92&lt;&gt;0,0,NSTonghop!X92)</f>
        <v>0</v>
      </c>
      <c r="Y92" s="151">
        <f>IF(NSTonghop!$E92&lt;&gt;0,0,NSTonghop!Y92)</f>
        <v>0</v>
      </c>
      <c r="Z92" s="151">
        <f>IF(NSTonghop!$E92&lt;&gt;0,0,NSTonghop!Z92)</f>
        <v>0</v>
      </c>
      <c r="AA92" s="151">
        <f>IF(NSTonghop!$E92&lt;&gt;0,0,NSTonghop!AA92)</f>
        <v>0</v>
      </c>
      <c r="AB92" s="151">
        <f>IF(NSTonghop!$E92&lt;&gt;0,0,NSTonghop!AB92)</f>
        <v>0</v>
      </c>
      <c r="AC92" s="151">
        <f>IF(NSTonghop!$E92&lt;&gt;0,0,NSTonghop!AC92)</f>
        <v>0</v>
      </c>
      <c r="AD92" s="151">
        <f>IF(NSTonghop!$E92&lt;&gt;0,0,NSTonghop!AD92)</f>
        <v>0</v>
      </c>
      <c r="AE92" s="151">
        <f>IF(NSTonghop!$E92&lt;&gt;0,0,NSTonghop!AE92)</f>
        <v>0</v>
      </c>
      <c r="AF92" s="151">
        <f>IF(NSTonghop!$E92&lt;&gt;0,0,NSTonghop!AF92)</f>
        <v>0</v>
      </c>
      <c r="AG92" s="151">
        <f>IF(NSTonghop!$E92&lt;&gt;0,0,NSTonghop!AG92)</f>
        <v>0</v>
      </c>
      <c r="AH92" s="151">
        <f>IF(NSTonghop!$E92&lt;&gt;0,0,NSTonghop!AH92)</f>
        <v>0</v>
      </c>
      <c r="AI92" s="151">
        <f>IF(NSTonghop!$E92&lt;&gt;0,0,NSTonghop!AI92)</f>
        <v>0</v>
      </c>
      <c r="AJ92" s="151">
        <f>IF(NSTonghop!$E92&lt;&gt;0,0,NSTonghop!AJ92)</f>
        <v>0</v>
      </c>
      <c r="AK92" s="151">
        <f>IF(NSTonghop!$E92&lt;&gt;0,0,NSTonghop!AK92)</f>
        <v>0</v>
      </c>
      <c r="AL92" s="151">
        <f>IF(NSTonghop!$E92&lt;&gt;0,0,NSTonghop!AL92)</f>
        <v>0</v>
      </c>
      <c r="AM92" s="151">
        <f>IF(NSTonghop!$E92&lt;&gt;0,0,NSTonghop!AM92)</f>
        <v>0</v>
      </c>
      <c r="AN92" s="151">
        <f>IF(NSTonghop!$E92&lt;&gt;0,0,NSTonghop!AN92)</f>
        <v>0</v>
      </c>
      <c r="AO92" s="151">
        <f>IF(NSTonghop!$E92&lt;&gt;0,0,NSTonghop!AO92)</f>
        <v>0</v>
      </c>
      <c r="AP92" s="151">
        <f>IF(NSTonghop!$E92&lt;&gt;0,0,NSTonghop!AP92)</f>
        <v>0</v>
      </c>
      <c r="AQ92" s="151" t="str">
        <f>IF(NSTonghop!$E92&lt;&gt;0,0,NSTonghop!AQ92)</f>
        <v/>
      </c>
      <c r="AR92" s="151">
        <f>IF(NSTonghop!$E92&lt;&gt;0,0,NSTonghop!AR92)</f>
        <v>0</v>
      </c>
      <c r="AS92" s="151">
        <f>IF(NSTonghop!$E92&lt;&gt;0,0,NSTonghop!AS92)</f>
        <v>0</v>
      </c>
      <c r="AT92" s="151">
        <f>IF(NSTonghop!$E92&lt;&gt;0,0,NSTonghop!AT92)</f>
        <v>0</v>
      </c>
      <c r="AU92" s="212"/>
    </row>
    <row r="93" spans="1:47" hidden="1" x14ac:dyDescent="0.25">
      <c r="A93" s="220"/>
      <c r="B93" s="162" t="str">
        <f>IF(F93&lt;&gt;0,MAX($B$8:B92)+1,"")</f>
        <v/>
      </c>
      <c r="C93" s="191"/>
      <c r="D93" s="164">
        <f>IF(NSTonghop!$E93&lt;&gt;0,0,NSTonghop!D93)</f>
        <v>0</v>
      </c>
      <c r="E93" s="162">
        <f>IF(NSTonghop!E93&lt;&gt;0,0,0)</f>
        <v>0</v>
      </c>
      <c r="F93" s="162">
        <f>IF(NSTonghop!$E93&lt;&gt;0,0,NSTonghop!F93)</f>
        <v>0</v>
      </c>
      <c r="G93" s="162">
        <f>IF(NSTonghop!$E93&lt;&gt;0,0,NSTonghop!G93)</f>
        <v>0</v>
      </c>
      <c r="H93" s="162">
        <f>IF(NSTonghop!$E93&lt;&gt;0,0,NSTonghop!H93)</f>
        <v>0</v>
      </c>
      <c r="I93" s="162">
        <f>IF(NSTonghop!$E93&lt;&gt;0,0,NSTonghop!I93)</f>
        <v>0</v>
      </c>
      <c r="J93" s="162">
        <f>IF(NSTonghop!$E93&lt;&gt;0,0,NSTonghop!J93)</f>
        <v>0</v>
      </c>
      <c r="K93" s="162">
        <f>IF(NSTonghop!$E93&lt;&gt;0,0,NSTonghop!K93)</f>
        <v>0</v>
      </c>
      <c r="L93" s="162">
        <f>IF(NSTonghop!$E93&lt;&gt;0,0,NSTonghop!L93)</f>
        <v>0</v>
      </c>
      <c r="M93" s="162">
        <f>IF(NSTonghop!$E93&lt;&gt;0,0,NSTonghop!M93)</f>
        <v>0</v>
      </c>
      <c r="N93" s="162">
        <f>IF(NSTonghop!$E93&lt;&gt;0,0,NSTonghop!N93)</f>
        <v>0</v>
      </c>
      <c r="O93" s="162">
        <f>IF(NSTonghop!$E93&lt;&gt;0,0,NSTonghop!O93)</f>
        <v>0</v>
      </c>
      <c r="P93" s="162">
        <f>IF(NSTonghop!$E93&lt;&gt;0,0,NSTonghop!P93)</f>
        <v>0</v>
      </c>
      <c r="Q93" s="162">
        <f>IF(NSTonghop!$E93&lt;&gt;0,0,NSTonghop!Q93)</f>
        <v>0</v>
      </c>
      <c r="R93" s="162">
        <f>IF(NSTonghop!$E93&lt;&gt;0,0,NSTonghop!R93)</f>
        <v>0</v>
      </c>
      <c r="S93" s="162">
        <f>IF(NSTonghop!$E93&lt;&gt;0,0,NSTonghop!S93)</f>
        <v>0</v>
      </c>
      <c r="T93" s="162">
        <f>IF(NSTonghop!$E93&lt;&gt;0,0,NSTonghop!T93)</f>
        <v>0</v>
      </c>
      <c r="U93" s="162">
        <f>IF(NSTonghop!$E93&lt;&gt;0,0,NSTonghop!U93)</f>
        <v>0</v>
      </c>
      <c r="V93" s="162">
        <f>IF(NSTonghop!$E93&lt;&gt;0,0,NSTonghop!V93)</f>
        <v>0</v>
      </c>
      <c r="W93" s="162" t="str">
        <f>IF(NSTonghop!$E93&lt;&gt;0,0,NSTonghop!W93)</f>
        <v/>
      </c>
      <c r="X93" s="162">
        <f>IF(NSTonghop!$E93&lt;&gt;0,0,NSTonghop!X93)</f>
        <v>0</v>
      </c>
      <c r="Y93" s="162">
        <f>IF(NSTonghop!$E93&lt;&gt;0,0,NSTonghop!Y93)</f>
        <v>0</v>
      </c>
      <c r="Z93" s="162">
        <f>IF(NSTonghop!$E93&lt;&gt;0,0,NSTonghop!Z93)</f>
        <v>0</v>
      </c>
      <c r="AA93" s="162">
        <f>IF(NSTonghop!$E93&lt;&gt;0,0,NSTonghop!AA93)</f>
        <v>0</v>
      </c>
      <c r="AB93" s="162">
        <f>IF(NSTonghop!$E93&lt;&gt;0,0,NSTonghop!AB93)</f>
        <v>0</v>
      </c>
      <c r="AC93" s="162">
        <f>IF(NSTonghop!$E93&lt;&gt;0,0,NSTonghop!AC93)</f>
        <v>0</v>
      </c>
      <c r="AD93" s="162">
        <f>IF(NSTonghop!$E93&lt;&gt;0,0,NSTonghop!AD93)</f>
        <v>0</v>
      </c>
      <c r="AE93" s="162">
        <f>IF(NSTonghop!$E93&lt;&gt;0,0,NSTonghop!AE93)</f>
        <v>0</v>
      </c>
      <c r="AF93" s="162">
        <f>IF(NSTonghop!$E93&lt;&gt;0,0,NSTonghop!AF93)</f>
        <v>0</v>
      </c>
      <c r="AG93" s="162">
        <f>IF(NSTonghop!$E93&lt;&gt;0,0,NSTonghop!AG93)</f>
        <v>0</v>
      </c>
      <c r="AH93" s="162">
        <f>IF(NSTonghop!$E93&lt;&gt;0,0,NSTonghop!AH93)</f>
        <v>0</v>
      </c>
      <c r="AI93" s="162">
        <f>IF(NSTonghop!$E93&lt;&gt;0,0,NSTonghop!AI93)</f>
        <v>0</v>
      </c>
      <c r="AJ93" s="162">
        <f>IF(NSTonghop!$E93&lt;&gt;0,0,NSTonghop!AJ93)</f>
        <v>0</v>
      </c>
      <c r="AK93" s="162">
        <f>IF(NSTonghop!$E93&lt;&gt;0,0,NSTonghop!AK93)</f>
        <v>0</v>
      </c>
      <c r="AL93" s="162">
        <f>IF(NSTonghop!$E93&lt;&gt;0,0,NSTonghop!AL93)</f>
        <v>0</v>
      </c>
      <c r="AM93" s="162">
        <f>IF(NSTonghop!$E93&lt;&gt;0,0,NSTonghop!AM93)</f>
        <v>0</v>
      </c>
      <c r="AN93" s="162">
        <f>IF(NSTonghop!$E93&lt;&gt;0,0,NSTonghop!AN93)</f>
        <v>0</v>
      </c>
      <c r="AO93" s="162">
        <f>IF(NSTonghop!$E93&lt;&gt;0,0,NSTonghop!AO93)</f>
        <v>0</v>
      </c>
      <c r="AP93" s="162">
        <f>IF(NSTonghop!$E93&lt;&gt;0,0,NSTonghop!AP93)</f>
        <v>0</v>
      </c>
      <c r="AQ93" s="162" t="str">
        <f>IF(NSTonghop!$E93&lt;&gt;0,0,NSTonghop!AQ93)</f>
        <v/>
      </c>
      <c r="AR93" s="162">
        <f>IF(NSTonghop!$E93&lt;&gt;0,0,NSTonghop!AR93)</f>
        <v>0</v>
      </c>
      <c r="AS93" s="162">
        <f>IF(NSTonghop!$E93&lt;&gt;0,0,NSTonghop!AS93)</f>
        <v>0</v>
      </c>
      <c r="AT93" s="162">
        <f>IF(NSTonghop!$E93&lt;&gt;0,0,NSTonghop!AT93)</f>
        <v>0</v>
      </c>
      <c r="AU93" s="212"/>
    </row>
    <row r="94" spans="1:47" hidden="1" x14ac:dyDescent="0.25">
      <c r="A94" s="220"/>
      <c r="B94" s="162" t="str">
        <f>IF(F94&lt;&gt;0,MAX($B$8:B93)+1,"")</f>
        <v/>
      </c>
      <c r="C94" s="191"/>
      <c r="D94" s="164">
        <f>IF(NSTonghop!$E94&lt;&gt;0,0,NSTonghop!D94)</f>
        <v>0</v>
      </c>
      <c r="E94" s="162">
        <f>IF(NSTonghop!E94&lt;&gt;0,0,0)</f>
        <v>0</v>
      </c>
      <c r="F94" s="162">
        <f>IF(NSTonghop!$E94&lt;&gt;0,0,NSTonghop!F94)</f>
        <v>0</v>
      </c>
      <c r="G94" s="162">
        <f>IF(NSTonghop!$E94&lt;&gt;0,0,NSTonghop!G94)</f>
        <v>0</v>
      </c>
      <c r="H94" s="162">
        <f>IF(NSTonghop!$E94&lt;&gt;0,0,NSTonghop!H94)</f>
        <v>0</v>
      </c>
      <c r="I94" s="162">
        <f>IF(NSTonghop!$E94&lt;&gt;0,0,NSTonghop!I94)</f>
        <v>0</v>
      </c>
      <c r="J94" s="162">
        <f>IF(NSTonghop!$E94&lt;&gt;0,0,NSTonghop!J94)</f>
        <v>0</v>
      </c>
      <c r="K94" s="162">
        <f>IF(NSTonghop!$E94&lt;&gt;0,0,NSTonghop!K94)</f>
        <v>0</v>
      </c>
      <c r="L94" s="162">
        <f>IF(NSTonghop!$E94&lt;&gt;0,0,NSTonghop!L94)</f>
        <v>0</v>
      </c>
      <c r="M94" s="162">
        <f>IF(NSTonghop!$E94&lt;&gt;0,0,NSTonghop!M94)</f>
        <v>0</v>
      </c>
      <c r="N94" s="162">
        <f>IF(NSTonghop!$E94&lt;&gt;0,0,NSTonghop!N94)</f>
        <v>0</v>
      </c>
      <c r="O94" s="162">
        <f>IF(NSTonghop!$E94&lt;&gt;0,0,NSTonghop!O94)</f>
        <v>0</v>
      </c>
      <c r="P94" s="162">
        <f>IF(NSTonghop!$E94&lt;&gt;0,0,NSTonghop!P94)</f>
        <v>0</v>
      </c>
      <c r="Q94" s="162">
        <f>IF(NSTonghop!$E94&lt;&gt;0,0,NSTonghop!Q94)</f>
        <v>0</v>
      </c>
      <c r="R94" s="162">
        <f>IF(NSTonghop!$E94&lt;&gt;0,0,NSTonghop!R94)</f>
        <v>0</v>
      </c>
      <c r="S94" s="162">
        <f>IF(NSTonghop!$E94&lt;&gt;0,0,NSTonghop!S94)</f>
        <v>0</v>
      </c>
      <c r="T94" s="162">
        <f>IF(NSTonghop!$E94&lt;&gt;0,0,NSTonghop!T94)</f>
        <v>0</v>
      </c>
      <c r="U94" s="162">
        <f>IF(NSTonghop!$E94&lt;&gt;0,0,NSTonghop!U94)</f>
        <v>0</v>
      </c>
      <c r="V94" s="162">
        <f>IF(NSTonghop!$E94&lt;&gt;0,0,NSTonghop!V94)</f>
        <v>0</v>
      </c>
      <c r="W94" s="162" t="str">
        <f>IF(NSTonghop!$E94&lt;&gt;0,0,NSTonghop!W94)</f>
        <v/>
      </c>
      <c r="X94" s="162">
        <f>IF(NSTonghop!$E94&lt;&gt;0,0,NSTonghop!X94)</f>
        <v>0</v>
      </c>
      <c r="Y94" s="162">
        <f>IF(NSTonghop!$E94&lt;&gt;0,0,NSTonghop!Y94)</f>
        <v>0</v>
      </c>
      <c r="Z94" s="162">
        <f>IF(NSTonghop!$E94&lt;&gt;0,0,NSTonghop!Z94)</f>
        <v>0</v>
      </c>
      <c r="AA94" s="162">
        <f>IF(NSTonghop!$E94&lt;&gt;0,0,NSTonghop!AA94)</f>
        <v>0</v>
      </c>
      <c r="AB94" s="162">
        <f>IF(NSTonghop!$E94&lt;&gt;0,0,NSTonghop!AB94)</f>
        <v>0</v>
      </c>
      <c r="AC94" s="162">
        <f>IF(NSTonghop!$E94&lt;&gt;0,0,NSTonghop!AC94)</f>
        <v>0</v>
      </c>
      <c r="AD94" s="162">
        <f>IF(NSTonghop!$E94&lt;&gt;0,0,NSTonghop!AD94)</f>
        <v>0</v>
      </c>
      <c r="AE94" s="162">
        <f>IF(NSTonghop!$E94&lt;&gt;0,0,NSTonghop!AE94)</f>
        <v>0</v>
      </c>
      <c r="AF94" s="162">
        <f>IF(NSTonghop!$E94&lt;&gt;0,0,NSTonghop!AF94)</f>
        <v>0</v>
      </c>
      <c r="AG94" s="162">
        <f>IF(NSTonghop!$E94&lt;&gt;0,0,NSTonghop!AG94)</f>
        <v>0</v>
      </c>
      <c r="AH94" s="162">
        <f>IF(NSTonghop!$E94&lt;&gt;0,0,NSTonghop!AH94)</f>
        <v>0</v>
      </c>
      <c r="AI94" s="162">
        <f>IF(NSTonghop!$E94&lt;&gt;0,0,NSTonghop!AI94)</f>
        <v>0</v>
      </c>
      <c r="AJ94" s="162">
        <f>IF(NSTonghop!$E94&lt;&gt;0,0,NSTonghop!AJ94)</f>
        <v>0</v>
      </c>
      <c r="AK94" s="162">
        <f>IF(NSTonghop!$E94&lt;&gt;0,0,NSTonghop!AK94)</f>
        <v>0</v>
      </c>
      <c r="AL94" s="162">
        <f>IF(NSTonghop!$E94&lt;&gt;0,0,NSTonghop!AL94)</f>
        <v>0</v>
      </c>
      <c r="AM94" s="162">
        <f>IF(NSTonghop!$E94&lt;&gt;0,0,NSTonghop!AM94)</f>
        <v>0</v>
      </c>
      <c r="AN94" s="162">
        <f>IF(NSTonghop!$E94&lt;&gt;0,0,NSTonghop!AN94)</f>
        <v>0</v>
      </c>
      <c r="AO94" s="162">
        <f>IF(NSTonghop!$E94&lt;&gt;0,0,NSTonghop!AO94)</f>
        <v>0</v>
      </c>
      <c r="AP94" s="162">
        <f>IF(NSTonghop!$E94&lt;&gt;0,0,NSTonghop!AP94)</f>
        <v>0</v>
      </c>
      <c r="AQ94" s="162" t="str">
        <f>IF(NSTonghop!$E94&lt;&gt;0,0,NSTonghop!AQ94)</f>
        <v/>
      </c>
      <c r="AR94" s="162">
        <f>IF(NSTonghop!$E94&lt;&gt;0,0,NSTonghop!AR94)</f>
        <v>0</v>
      </c>
      <c r="AS94" s="162">
        <f>IF(NSTonghop!$E94&lt;&gt;0,0,NSTonghop!AS94)</f>
        <v>0</v>
      </c>
      <c r="AT94" s="162">
        <f>IF(NSTonghop!$E94&lt;&gt;0,0,NSTonghop!AT94)</f>
        <v>0</v>
      </c>
      <c r="AU94" s="212"/>
    </row>
    <row r="95" spans="1:47" hidden="1" x14ac:dyDescent="0.25">
      <c r="A95" s="220"/>
      <c r="B95" s="162" t="str">
        <f>IF(F95&lt;&gt;0,MAX($B$8:B94)+1,"")</f>
        <v/>
      </c>
      <c r="C95" s="191"/>
      <c r="D95" s="164">
        <f>IF(NSTonghop!$E95&lt;&gt;0,0,NSTonghop!D95)</f>
        <v>0</v>
      </c>
      <c r="E95" s="162">
        <f>IF(NSTonghop!E95&lt;&gt;0,0,0)</f>
        <v>0</v>
      </c>
      <c r="F95" s="162">
        <f>IF(NSTonghop!$E95&lt;&gt;0,0,NSTonghop!F95)</f>
        <v>0</v>
      </c>
      <c r="G95" s="162">
        <f>IF(NSTonghop!$E95&lt;&gt;0,0,NSTonghop!G95)</f>
        <v>0</v>
      </c>
      <c r="H95" s="162">
        <f>IF(NSTonghop!$E95&lt;&gt;0,0,NSTonghop!H95)</f>
        <v>0</v>
      </c>
      <c r="I95" s="162">
        <f>IF(NSTonghop!$E95&lt;&gt;0,0,NSTonghop!I95)</f>
        <v>0</v>
      </c>
      <c r="J95" s="162">
        <f>IF(NSTonghop!$E95&lt;&gt;0,0,NSTonghop!J95)</f>
        <v>0</v>
      </c>
      <c r="K95" s="162">
        <f>IF(NSTonghop!$E95&lt;&gt;0,0,NSTonghop!K95)</f>
        <v>0</v>
      </c>
      <c r="L95" s="162">
        <f>IF(NSTonghop!$E95&lt;&gt;0,0,NSTonghop!L95)</f>
        <v>0</v>
      </c>
      <c r="M95" s="162">
        <f>IF(NSTonghop!$E95&lt;&gt;0,0,NSTonghop!M95)</f>
        <v>0</v>
      </c>
      <c r="N95" s="162">
        <f>IF(NSTonghop!$E95&lt;&gt;0,0,NSTonghop!N95)</f>
        <v>0</v>
      </c>
      <c r="O95" s="162">
        <f>IF(NSTonghop!$E95&lt;&gt;0,0,NSTonghop!O95)</f>
        <v>0</v>
      </c>
      <c r="P95" s="162">
        <f>IF(NSTonghop!$E95&lt;&gt;0,0,NSTonghop!P95)</f>
        <v>0</v>
      </c>
      <c r="Q95" s="162">
        <f>IF(NSTonghop!$E95&lt;&gt;0,0,NSTonghop!Q95)</f>
        <v>0</v>
      </c>
      <c r="R95" s="162">
        <f>IF(NSTonghop!$E95&lt;&gt;0,0,NSTonghop!R95)</f>
        <v>0</v>
      </c>
      <c r="S95" s="162">
        <f>IF(NSTonghop!$E95&lt;&gt;0,0,NSTonghop!S95)</f>
        <v>0</v>
      </c>
      <c r="T95" s="162">
        <f>IF(NSTonghop!$E95&lt;&gt;0,0,NSTonghop!T95)</f>
        <v>0</v>
      </c>
      <c r="U95" s="162">
        <f>IF(NSTonghop!$E95&lt;&gt;0,0,NSTonghop!U95)</f>
        <v>0</v>
      </c>
      <c r="V95" s="162">
        <f>IF(NSTonghop!$E95&lt;&gt;0,0,NSTonghop!V95)</f>
        <v>0</v>
      </c>
      <c r="W95" s="162" t="str">
        <f>IF(NSTonghop!$E95&lt;&gt;0,0,NSTonghop!W95)</f>
        <v/>
      </c>
      <c r="X95" s="162">
        <f>IF(NSTonghop!$E95&lt;&gt;0,0,NSTonghop!X95)</f>
        <v>0</v>
      </c>
      <c r="Y95" s="162">
        <f>IF(NSTonghop!$E95&lt;&gt;0,0,NSTonghop!Y95)</f>
        <v>0</v>
      </c>
      <c r="Z95" s="162">
        <f>IF(NSTonghop!$E95&lt;&gt;0,0,NSTonghop!Z95)</f>
        <v>0</v>
      </c>
      <c r="AA95" s="162">
        <f>IF(NSTonghop!$E95&lt;&gt;0,0,NSTonghop!AA95)</f>
        <v>0</v>
      </c>
      <c r="AB95" s="162">
        <f>IF(NSTonghop!$E95&lt;&gt;0,0,NSTonghop!AB95)</f>
        <v>0</v>
      </c>
      <c r="AC95" s="162">
        <f>IF(NSTonghop!$E95&lt;&gt;0,0,NSTonghop!AC95)</f>
        <v>0</v>
      </c>
      <c r="AD95" s="162">
        <f>IF(NSTonghop!$E95&lt;&gt;0,0,NSTonghop!AD95)</f>
        <v>0</v>
      </c>
      <c r="AE95" s="162">
        <f>IF(NSTonghop!$E95&lt;&gt;0,0,NSTonghop!AE95)</f>
        <v>0</v>
      </c>
      <c r="AF95" s="162">
        <f>IF(NSTonghop!$E95&lt;&gt;0,0,NSTonghop!AF95)</f>
        <v>0</v>
      </c>
      <c r="AG95" s="162">
        <f>IF(NSTonghop!$E95&lt;&gt;0,0,NSTonghop!AG95)</f>
        <v>0</v>
      </c>
      <c r="AH95" s="162">
        <f>IF(NSTonghop!$E95&lt;&gt;0,0,NSTonghop!AH95)</f>
        <v>0</v>
      </c>
      <c r="AI95" s="162">
        <f>IF(NSTonghop!$E95&lt;&gt;0,0,NSTonghop!AI95)</f>
        <v>0</v>
      </c>
      <c r="AJ95" s="162">
        <f>IF(NSTonghop!$E95&lt;&gt;0,0,NSTonghop!AJ95)</f>
        <v>0</v>
      </c>
      <c r="AK95" s="162">
        <f>IF(NSTonghop!$E95&lt;&gt;0,0,NSTonghop!AK95)</f>
        <v>0</v>
      </c>
      <c r="AL95" s="162">
        <f>IF(NSTonghop!$E95&lt;&gt;0,0,NSTonghop!AL95)</f>
        <v>0</v>
      </c>
      <c r="AM95" s="162">
        <f>IF(NSTonghop!$E95&lt;&gt;0,0,NSTonghop!AM95)</f>
        <v>0</v>
      </c>
      <c r="AN95" s="162">
        <f>IF(NSTonghop!$E95&lt;&gt;0,0,NSTonghop!AN95)</f>
        <v>0</v>
      </c>
      <c r="AO95" s="162">
        <f>IF(NSTonghop!$E95&lt;&gt;0,0,NSTonghop!AO95)</f>
        <v>0</v>
      </c>
      <c r="AP95" s="162">
        <f>IF(NSTonghop!$E95&lt;&gt;0,0,NSTonghop!AP95)</f>
        <v>0</v>
      </c>
      <c r="AQ95" s="162" t="str">
        <f>IF(NSTonghop!$E95&lt;&gt;0,0,NSTonghop!AQ95)</f>
        <v/>
      </c>
      <c r="AR95" s="162">
        <f>IF(NSTonghop!$E95&lt;&gt;0,0,NSTonghop!AR95)</f>
        <v>0</v>
      </c>
      <c r="AS95" s="162">
        <f>IF(NSTonghop!$E95&lt;&gt;0,0,NSTonghop!AS95)</f>
        <v>0</v>
      </c>
      <c r="AT95" s="162">
        <f>IF(NSTonghop!$E95&lt;&gt;0,0,NSTonghop!AT95)</f>
        <v>0</v>
      </c>
      <c r="AU95" s="212"/>
    </row>
    <row r="96" spans="1:47" hidden="1" x14ac:dyDescent="0.25">
      <c r="A96" s="220"/>
      <c r="B96" s="162" t="str">
        <f>IF(F96&lt;&gt;0,MAX($B$8:B95)+1,"")</f>
        <v/>
      </c>
      <c r="C96" s="191"/>
      <c r="D96" s="164">
        <f>IF(NSTonghop!$E96&lt;&gt;0,0,NSTonghop!D96)</f>
        <v>0</v>
      </c>
      <c r="E96" s="162">
        <f>IF(NSTonghop!E96&lt;&gt;0,0,0)</f>
        <v>0</v>
      </c>
      <c r="F96" s="162">
        <f>IF(NSTonghop!$E96&lt;&gt;0,0,NSTonghop!F96)</f>
        <v>0</v>
      </c>
      <c r="G96" s="162">
        <f>IF(NSTonghop!$E96&lt;&gt;0,0,NSTonghop!G96)</f>
        <v>0</v>
      </c>
      <c r="H96" s="162">
        <f>IF(NSTonghop!$E96&lt;&gt;0,0,NSTonghop!H96)</f>
        <v>0</v>
      </c>
      <c r="I96" s="162">
        <f>IF(NSTonghop!$E96&lt;&gt;0,0,NSTonghop!I96)</f>
        <v>0</v>
      </c>
      <c r="J96" s="162">
        <f>IF(NSTonghop!$E96&lt;&gt;0,0,NSTonghop!J96)</f>
        <v>0</v>
      </c>
      <c r="K96" s="162">
        <f>IF(NSTonghop!$E96&lt;&gt;0,0,NSTonghop!K96)</f>
        <v>0</v>
      </c>
      <c r="L96" s="162">
        <f>IF(NSTonghop!$E96&lt;&gt;0,0,NSTonghop!L96)</f>
        <v>0</v>
      </c>
      <c r="M96" s="162">
        <f>IF(NSTonghop!$E96&lt;&gt;0,0,NSTonghop!M96)</f>
        <v>0</v>
      </c>
      <c r="N96" s="162">
        <f>IF(NSTonghop!$E96&lt;&gt;0,0,NSTonghop!N96)</f>
        <v>0</v>
      </c>
      <c r="O96" s="162">
        <f>IF(NSTonghop!$E96&lt;&gt;0,0,NSTonghop!O96)</f>
        <v>0</v>
      </c>
      <c r="P96" s="162">
        <f>IF(NSTonghop!$E96&lt;&gt;0,0,NSTonghop!P96)</f>
        <v>0</v>
      </c>
      <c r="Q96" s="162">
        <f>IF(NSTonghop!$E96&lt;&gt;0,0,NSTonghop!Q96)</f>
        <v>0</v>
      </c>
      <c r="R96" s="162">
        <f>IF(NSTonghop!$E96&lt;&gt;0,0,NSTonghop!R96)</f>
        <v>0</v>
      </c>
      <c r="S96" s="162">
        <f>IF(NSTonghop!$E96&lt;&gt;0,0,NSTonghop!S96)</f>
        <v>0</v>
      </c>
      <c r="T96" s="162">
        <f>IF(NSTonghop!$E96&lt;&gt;0,0,NSTonghop!T96)</f>
        <v>0</v>
      </c>
      <c r="U96" s="162">
        <f>IF(NSTonghop!$E96&lt;&gt;0,0,NSTonghop!U96)</f>
        <v>0</v>
      </c>
      <c r="V96" s="162">
        <f>IF(NSTonghop!$E96&lt;&gt;0,0,NSTonghop!V96)</f>
        <v>0</v>
      </c>
      <c r="W96" s="162" t="str">
        <f>IF(NSTonghop!$E96&lt;&gt;0,0,NSTonghop!W96)</f>
        <v/>
      </c>
      <c r="X96" s="162">
        <f>IF(NSTonghop!$E96&lt;&gt;0,0,NSTonghop!X96)</f>
        <v>0</v>
      </c>
      <c r="Y96" s="162">
        <f>IF(NSTonghop!$E96&lt;&gt;0,0,NSTonghop!Y96)</f>
        <v>0</v>
      </c>
      <c r="Z96" s="162">
        <f>IF(NSTonghop!$E96&lt;&gt;0,0,NSTonghop!Z96)</f>
        <v>0</v>
      </c>
      <c r="AA96" s="162">
        <f>IF(NSTonghop!$E96&lt;&gt;0,0,NSTonghop!AA96)</f>
        <v>0</v>
      </c>
      <c r="AB96" s="162">
        <f>IF(NSTonghop!$E96&lt;&gt;0,0,NSTonghop!AB96)</f>
        <v>0</v>
      </c>
      <c r="AC96" s="162">
        <f>IF(NSTonghop!$E96&lt;&gt;0,0,NSTonghop!AC96)</f>
        <v>0</v>
      </c>
      <c r="AD96" s="162">
        <f>IF(NSTonghop!$E96&lt;&gt;0,0,NSTonghop!AD96)</f>
        <v>0</v>
      </c>
      <c r="AE96" s="162">
        <f>IF(NSTonghop!$E96&lt;&gt;0,0,NSTonghop!AE96)</f>
        <v>0</v>
      </c>
      <c r="AF96" s="162">
        <f>IF(NSTonghop!$E96&lt;&gt;0,0,NSTonghop!AF96)</f>
        <v>0</v>
      </c>
      <c r="AG96" s="162">
        <f>IF(NSTonghop!$E96&lt;&gt;0,0,NSTonghop!AG96)</f>
        <v>0</v>
      </c>
      <c r="AH96" s="162">
        <f>IF(NSTonghop!$E96&lt;&gt;0,0,NSTonghop!AH96)</f>
        <v>0</v>
      </c>
      <c r="AI96" s="162">
        <f>IF(NSTonghop!$E96&lt;&gt;0,0,NSTonghop!AI96)</f>
        <v>0</v>
      </c>
      <c r="AJ96" s="162">
        <f>IF(NSTonghop!$E96&lt;&gt;0,0,NSTonghop!AJ96)</f>
        <v>0</v>
      </c>
      <c r="AK96" s="162">
        <f>IF(NSTonghop!$E96&lt;&gt;0,0,NSTonghop!AK96)</f>
        <v>0</v>
      </c>
      <c r="AL96" s="162">
        <f>IF(NSTonghop!$E96&lt;&gt;0,0,NSTonghop!AL96)</f>
        <v>0</v>
      </c>
      <c r="AM96" s="162">
        <f>IF(NSTonghop!$E96&lt;&gt;0,0,NSTonghop!AM96)</f>
        <v>0</v>
      </c>
      <c r="AN96" s="162">
        <f>IF(NSTonghop!$E96&lt;&gt;0,0,NSTonghop!AN96)</f>
        <v>0</v>
      </c>
      <c r="AO96" s="162">
        <f>IF(NSTonghop!$E96&lt;&gt;0,0,NSTonghop!AO96)</f>
        <v>0</v>
      </c>
      <c r="AP96" s="162">
        <f>IF(NSTonghop!$E96&lt;&gt;0,0,NSTonghop!AP96)</f>
        <v>0</v>
      </c>
      <c r="AQ96" s="162" t="str">
        <f>IF(NSTonghop!$E96&lt;&gt;0,0,NSTonghop!AQ96)</f>
        <v/>
      </c>
      <c r="AR96" s="162">
        <f>IF(NSTonghop!$E96&lt;&gt;0,0,NSTonghop!AR96)</f>
        <v>0</v>
      </c>
      <c r="AS96" s="162">
        <f>IF(NSTonghop!$E96&lt;&gt;0,0,NSTonghop!AS96)</f>
        <v>0</v>
      </c>
      <c r="AT96" s="162">
        <f>IF(NSTonghop!$E96&lt;&gt;0,0,NSTonghop!AT96)</f>
        <v>0</v>
      </c>
      <c r="AU96" s="212"/>
    </row>
    <row r="97" spans="1:47" hidden="1" x14ac:dyDescent="0.25">
      <c r="A97" s="220"/>
      <c r="B97" s="162" t="str">
        <f>IF(F97&lt;&gt;0,MAX($B$8:B96)+1,"")</f>
        <v/>
      </c>
      <c r="C97" s="191"/>
      <c r="D97" s="164">
        <f>IF(NSTonghop!$E97&lt;&gt;0,0,NSTonghop!D97)</f>
        <v>0</v>
      </c>
      <c r="E97" s="162">
        <f>IF(NSTonghop!E97&lt;&gt;0,0,0)</f>
        <v>0</v>
      </c>
      <c r="F97" s="162">
        <f>IF(NSTonghop!$E97&lt;&gt;0,0,NSTonghop!F97)</f>
        <v>0</v>
      </c>
      <c r="G97" s="162">
        <f>IF(NSTonghop!$E97&lt;&gt;0,0,NSTonghop!G97)</f>
        <v>0</v>
      </c>
      <c r="H97" s="162">
        <f>IF(NSTonghop!$E97&lt;&gt;0,0,NSTonghop!H97)</f>
        <v>0</v>
      </c>
      <c r="I97" s="162">
        <f>IF(NSTonghop!$E97&lt;&gt;0,0,NSTonghop!I97)</f>
        <v>0</v>
      </c>
      <c r="J97" s="162">
        <f>IF(NSTonghop!$E97&lt;&gt;0,0,NSTonghop!J97)</f>
        <v>0</v>
      </c>
      <c r="K97" s="162">
        <f>IF(NSTonghop!$E97&lt;&gt;0,0,NSTonghop!K97)</f>
        <v>0</v>
      </c>
      <c r="L97" s="162">
        <f>IF(NSTonghop!$E97&lt;&gt;0,0,NSTonghop!L97)</f>
        <v>0</v>
      </c>
      <c r="M97" s="162">
        <f>IF(NSTonghop!$E97&lt;&gt;0,0,NSTonghop!M97)</f>
        <v>0</v>
      </c>
      <c r="N97" s="162">
        <f>IF(NSTonghop!$E97&lt;&gt;0,0,NSTonghop!N97)</f>
        <v>0</v>
      </c>
      <c r="O97" s="162">
        <f>IF(NSTonghop!$E97&lt;&gt;0,0,NSTonghop!O97)</f>
        <v>0</v>
      </c>
      <c r="P97" s="162">
        <f>IF(NSTonghop!$E97&lt;&gt;0,0,NSTonghop!P97)</f>
        <v>0</v>
      </c>
      <c r="Q97" s="162">
        <f>IF(NSTonghop!$E97&lt;&gt;0,0,NSTonghop!Q97)</f>
        <v>0</v>
      </c>
      <c r="R97" s="162">
        <f>IF(NSTonghop!$E97&lt;&gt;0,0,NSTonghop!R97)</f>
        <v>0</v>
      </c>
      <c r="S97" s="162">
        <f>IF(NSTonghop!$E97&lt;&gt;0,0,NSTonghop!S97)</f>
        <v>0</v>
      </c>
      <c r="T97" s="162">
        <f>IF(NSTonghop!$E97&lt;&gt;0,0,NSTonghop!T97)</f>
        <v>0</v>
      </c>
      <c r="U97" s="162">
        <f>IF(NSTonghop!$E97&lt;&gt;0,0,NSTonghop!U97)</f>
        <v>0</v>
      </c>
      <c r="V97" s="162">
        <f>IF(NSTonghop!$E97&lt;&gt;0,0,NSTonghop!V97)</f>
        <v>0</v>
      </c>
      <c r="W97" s="162" t="str">
        <f>IF(NSTonghop!$E97&lt;&gt;0,0,NSTonghop!W97)</f>
        <v/>
      </c>
      <c r="X97" s="162">
        <f>IF(NSTonghop!$E97&lt;&gt;0,0,NSTonghop!X97)</f>
        <v>0</v>
      </c>
      <c r="Y97" s="162">
        <f>IF(NSTonghop!$E97&lt;&gt;0,0,NSTonghop!Y97)</f>
        <v>0</v>
      </c>
      <c r="Z97" s="162">
        <f>IF(NSTonghop!$E97&lt;&gt;0,0,NSTonghop!Z97)</f>
        <v>0</v>
      </c>
      <c r="AA97" s="162">
        <f>IF(NSTonghop!$E97&lt;&gt;0,0,NSTonghop!AA97)</f>
        <v>0</v>
      </c>
      <c r="AB97" s="162">
        <f>IF(NSTonghop!$E97&lt;&gt;0,0,NSTonghop!AB97)</f>
        <v>0</v>
      </c>
      <c r="AC97" s="162">
        <f>IF(NSTonghop!$E97&lt;&gt;0,0,NSTonghop!AC97)</f>
        <v>0</v>
      </c>
      <c r="AD97" s="162">
        <f>IF(NSTonghop!$E97&lt;&gt;0,0,NSTonghop!AD97)</f>
        <v>0</v>
      </c>
      <c r="AE97" s="162">
        <f>IF(NSTonghop!$E97&lt;&gt;0,0,NSTonghop!AE97)</f>
        <v>0</v>
      </c>
      <c r="AF97" s="162">
        <f>IF(NSTonghop!$E97&lt;&gt;0,0,NSTonghop!AF97)</f>
        <v>0</v>
      </c>
      <c r="AG97" s="162">
        <f>IF(NSTonghop!$E97&lt;&gt;0,0,NSTonghop!AG97)</f>
        <v>0</v>
      </c>
      <c r="AH97" s="162">
        <f>IF(NSTonghop!$E97&lt;&gt;0,0,NSTonghop!AH97)</f>
        <v>0</v>
      </c>
      <c r="AI97" s="162">
        <f>IF(NSTonghop!$E97&lt;&gt;0,0,NSTonghop!AI97)</f>
        <v>0</v>
      </c>
      <c r="AJ97" s="162">
        <f>IF(NSTonghop!$E97&lt;&gt;0,0,NSTonghop!AJ97)</f>
        <v>0</v>
      </c>
      <c r="AK97" s="162">
        <f>IF(NSTonghop!$E97&lt;&gt;0,0,NSTonghop!AK97)</f>
        <v>0</v>
      </c>
      <c r="AL97" s="162">
        <f>IF(NSTonghop!$E97&lt;&gt;0,0,NSTonghop!AL97)</f>
        <v>0</v>
      </c>
      <c r="AM97" s="162">
        <f>IF(NSTonghop!$E97&lt;&gt;0,0,NSTonghop!AM97)</f>
        <v>0</v>
      </c>
      <c r="AN97" s="162">
        <f>IF(NSTonghop!$E97&lt;&gt;0,0,NSTonghop!AN97)</f>
        <v>0</v>
      </c>
      <c r="AO97" s="162">
        <f>IF(NSTonghop!$E97&lt;&gt;0,0,NSTonghop!AO97)</f>
        <v>0</v>
      </c>
      <c r="AP97" s="162">
        <f>IF(NSTonghop!$E97&lt;&gt;0,0,NSTonghop!AP97)</f>
        <v>0</v>
      </c>
      <c r="AQ97" s="162" t="str">
        <f>IF(NSTonghop!$E97&lt;&gt;0,0,NSTonghop!AQ97)</f>
        <v/>
      </c>
      <c r="AR97" s="162">
        <f>IF(NSTonghop!$E97&lt;&gt;0,0,NSTonghop!AR97)</f>
        <v>0</v>
      </c>
      <c r="AS97" s="162">
        <f>IF(NSTonghop!$E97&lt;&gt;0,0,NSTonghop!AS97)</f>
        <v>0</v>
      </c>
      <c r="AT97" s="162">
        <f>IF(NSTonghop!$E97&lt;&gt;0,0,NSTonghop!AT97)</f>
        <v>0</v>
      </c>
      <c r="AU97" s="212"/>
    </row>
    <row r="98" spans="1:47" hidden="1" x14ac:dyDescent="0.25">
      <c r="A98" s="220"/>
      <c r="B98" s="162" t="str">
        <f>IF(F98&lt;&gt;0,MAX($B$8:B97)+1,"")</f>
        <v/>
      </c>
      <c r="C98" s="191"/>
      <c r="D98" s="164">
        <f>IF(NSTonghop!$E98&lt;&gt;0,0,NSTonghop!D98)</f>
        <v>0</v>
      </c>
      <c r="E98" s="162">
        <f>IF(NSTonghop!E98&lt;&gt;0,0,0)</f>
        <v>0</v>
      </c>
      <c r="F98" s="162">
        <f>IF(NSTonghop!$E98&lt;&gt;0,0,NSTonghop!F98)</f>
        <v>0</v>
      </c>
      <c r="G98" s="162">
        <f>IF(NSTonghop!$E98&lt;&gt;0,0,NSTonghop!G98)</f>
        <v>0</v>
      </c>
      <c r="H98" s="162">
        <f>IF(NSTonghop!$E98&lt;&gt;0,0,NSTonghop!H98)</f>
        <v>0</v>
      </c>
      <c r="I98" s="162">
        <f>IF(NSTonghop!$E98&lt;&gt;0,0,NSTonghop!I98)</f>
        <v>0</v>
      </c>
      <c r="J98" s="162">
        <f>IF(NSTonghop!$E98&lt;&gt;0,0,NSTonghop!J98)</f>
        <v>0</v>
      </c>
      <c r="K98" s="162">
        <f>IF(NSTonghop!$E98&lt;&gt;0,0,NSTonghop!K98)</f>
        <v>0</v>
      </c>
      <c r="L98" s="162">
        <f>IF(NSTonghop!$E98&lt;&gt;0,0,NSTonghop!L98)</f>
        <v>0</v>
      </c>
      <c r="M98" s="162">
        <f>IF(NSTonghop!$E98&lt;&gt;0,0,NSTonghop!M98)</f>
        <v>0</v>
      </c>
      <c r="N98" s="162">
        <f>IF(NSTonghop!$E98&lt;&gt;0,0,NSTonghop!N98)</f>
        <v>0</v>
      </c>
      <c r="O98" s="162">
        <f>IF(NSTonghop!$E98&lt;&gt;0,0,NSTonghop!O98)</f>
        <v>0</v>
      </c>
      <c r="P98" s="162">
        <f>IF(NSTonghop!$E98&lt;&gt;0,0,NSTonghop!P98)</f>
        <v>0</v>
      </c>
      <c r="Q98" s="162">
        <f>IF(NSTonghop!$E98&lt;&gt;0,0,NSTonghop!Q98)</f>
        <v>0</v>
      </c>
      <c r="R98" s="162">
        <f>IF(NSTonghop!$E98&lt;&gt;0,0,NSTonghop!R98)</f>
        <v>0</v>
      </c>
      <c r="S98" s="162">
        <f>IF(NSTonghop!$E98&lt;&gt;0,0,NSTonghop!S98)</f>
        <v>0</v>
      </c>
      <c r="T98" s="162">
        <f>IF(NSTonghop!$E98&lt;&gt;0,0,NSTonghop!T98)</f>
        <v>0</v>
      </c>
      <c r="U98" s="162">
        <f>IF(NSTonghop!$E98&lt;&gt;0,0,NSTonghop!U98)</f>
        <v>0</v>
      </c>
      <c r="V98" s="162">
        <f>IF(NSTonghop!$E98&lt;&gt;0,0,NSTonghop!V98)</f>
        <v>0</v>
      </c>
      <c r="W98" s="162" t="str">
        <f>IF(NSTonghop!$E98&lt;&gt;0,0,NSTonghop!W98)</f>
        <v/>
      </c>
      <c r="X98" s="162">
        <f>IF(NSTonghop!$E98&lt;&gt;0,0,NSTonghop!X98)</f>
        <v>0</v>
      </c>
      <c r="Y98" s="162">
        <f>IF(NSTonghop!$E98&lt;&gt;0,0,NSTonghop!Y98)</f>
        <v>0</v>
      </c>
      <c r="Z98" s="162">
        <f>IF(NSTonghop!$E98&lt;&gt;0,0,NSTonghop!Z98)</f>
        <v>0</v>
      </c>
      <c r="AA98" s="162">
        <f>IF(NSTonghop!$E98&lt;&gt;0,0,NSTonghop!AA98)</f>
        <v>0</v>
      </c>
      <c r="AB98" s="162">
        <f>IF(NSTonghop!$E98&lt;&gt;0,0,NSTonghop!AB98)</f>
        <v>0</v>
      </c>
      <c r="AC98" s="162">
        <f>IF(NSTonghop!$E98&lt;&gt;0,0,NSTonghop!AC98)</f>
        <v>0</v>
      </c>
      <c r="AD98" s="162">
        <f>IF(NSTonghop!$E98&lt;&gt;0,0,NSTonghop!AD98)</f>
        <v>0</v>
      </c>
      <c r="AE98" s="162">
        <f>IF(NSTonghop!$E98&lt;&gt;0,0,NSTonghop!AE98)</f>
        <v>0</v>
      </c>
      <c r="AF98" s="162">
        <f>IF(NSTonghop!$E98&lt;&gt;0,0,NSTonghop!AF98)</f>
        <v>0</v>
      </c>
      <c r="AG98" s="162">
        <f>IF(NSTonghop!$E98&lt;&gt;0,0,NSTonghop!AG98)</f>
        <v>0</v>
      </c>
      <c r="AH98" s="162">
        <f>IF(NSTonghop!$E98&lt;&gt;0,0,NSTonghop!AH98)</f>
        <v>0</v>
      </c>
      <c r="AI98" s="162">
        <f>IF(NSTonghop!$E98&lt;&gt;0,0,NSTonghop!AI98)</f>
        <v>0</v>
      </c>
      <c r="AJ98" s="162">
        <f>IF(NSTonghop!$E98&lt;&gt;0,0,NSTonghop!AJ98)</f>
        <v>0</v>
      </c>
      <c r="AK98" s="162">
        <f>IF(NSTonghop!$E98&lt;&gt;0,0,NSTonghop!AK98)</f>
        <v>0</v>
      </c>
      <c r="AL98" s="162">
        <f>IF(NSTonghop!$E98&lt;&gt;0,0,NSTonghop!AL98)</f>
        <v>0</v>
      </c>
      <c r="AM98" s="162">
        <f>IF(NSTonghop!$E98&lt;&gt;0,0,NSTonghop!AM98)</f>
        <v>0</v>
      </c>
      <c r="AN98" s="162">
        <f>IF(NSTonghop!$E98&lt;&gt;0,0,NSTonghop!AN98)</f>
        <v>0</v>
      </c>
      <c r="AO98" s="162">
        <f>IF(NSTonghop!$E98&lt;&gt;0,0,NSTonghop!AO98)</f>
        <v>0</v>
      </c>
      <c r="AP98" s="162">
        <f>IF(NSTonghop!$E98&lt;&gt;0,0,NSTonghop!AP98)</f>
        <v>0</v>
      </c>
      <c r="AQ98" s="162" t="str">
        <f>IF(NSTonghop!$E98&lt;&gt;0,0,NSTonghop!AQ98)</f>
        <v/>
      </c>
      <c r="AR98" s="162">
        <f>IF(NSTonghop!$E98&lt;&gt;0,0,NSTonghop!AR98)</f>
        <v>0</v>
      </c>
      <c r="AS98" s="162">
        <f>IF(NSTonghop!$E98&lt;&gt;0,0,NSTonghop!AS98)</f>
        <v>0</v>
      </c>
      <c r="AT98" s="162">
        <f>IF(NSTonghop!$E98&lt;&gt;0,0,NSTonghop!AT98)</f>
        <v>0</v>
      </c>
      <c r="AU98" s="212"/>
    </row>
    <row r="99" spans="1:47" hidden="1" x14ac:dyDescent="0.25">
      <c r="A99" s="220"/>
      <c r="B99" s="162" t="str">
        <f>IF(F99&lt;&gt;0,MAX($B$8:B98)+1,"")</f>
        <v/>
      </c>
      <c r="C99" s="191"/>
      <c r="D99" s="164">
        <f>IF(NSTonghop!$E99&lt;&gt;0,0,NSTonghop!D99)</f>
        <v>0</v>
      </c>
      <c r="E99" s="162">
        <f>IF(NSTonghop!E99&lt;&gt;0,0,0)</f>
        <v>0</v>
      </c>
      <c r="F99" s="162">
        <f>IF(NSTonghop!$E99&lt;&gt;0,0,NSTonghop!F99)</f>
        <v>0</v>
      </c>
      <c r="G99" s="162">
        <f>IF(NSTonghop!$E99&lt;&gt;0,0,NSTonghop!G99)</f>
        <v>0</v>
      </c>
      <c r="H99" s="162">
        <f>IF(NSTonghop!$E99&lt;&gt;0,0,NSTonghop!H99)</f>
        <v>0</v>
      </c>
      <c r="I99" s="162">
        <f>IF(NSTonghop!$E99&lt;&gt;0,0,NSTonghop!I99)</f>
        <v>0</v>
      </c>
      <c r="J99" s="162">
        <f>IF(NSTonghop!$E99&lt;&gt;0,0,NSTonghop!J99)</f>
        <v>0</v>
      </c>
      <c r="K99" s="162">
        <f>IF(NSTonghop!$E99&lt;&gt;0,0,NSTonghop!K99)</f>
        <v>0</v>
      </c>
      <c r="L99" s="162">
        <f>IF(NSTonghop!$E99&lt;&gt;0,0,NSTonghop!L99)</f>
        <v>0</v>
      </c>
      <c r="M99" s="162">
        <f>IF(NSTonghop!$E99&lt;&gt;0,0,NSTonghop!M99)</f>
        <v>0</v>
      </c>
      <c r="N99" s="162">
        <f>IF(NSTonghop!$E99&lt;&gt;0,0,NSTonghop!N99)</f>
        <v>0</v>
      </c>
      <c r="O99" s="162">
        <f>IF(NSTonghop!$E99&lt;&gt;0,0,NSTonghop!O99)</f>
        <v>0</v>
      </c>
      <c r="P99" s="162">
        <f>IF(NSTonghop!$E99&lt;&gt;0,0,NSTonghop!P99)</f>
        <v>0</v>
      </c>
      <c r="Q99" s="162">
        <f>IF(NSTonghop!$E99&lt;&gt;0,0,NSTonghop!Q99)</f>
        <v>0</v>
      </c>
      <c r="R99" s="162">
        <f>IF(NSTonghop!$E99&lt;&gt;0,0,NSTonghop!R99)</f>
        <v>0</v>
      </c>
      <c r="S99" s="162">
        <f>IF(NSTonghop!$E99&lt;&gt;0,0,NSTonghop!S99)</f>
        <v>0</v>
      </c>
      <c r="T99" s="162">
        <f>IF(NSTonghop!$E99&lt;&gt;0,0,NSTonghop!T99)</f>
        <v>0</v>
      </c>
      <c r="U99" s="162">
        <f>IF(NSTonghop!$E99&lt;&gt;0,0,NSTonghop!U99)</f>
        <v>0</v>
      </c>
      <c r="V99" s="162">
        <f>IF(NSTonghop!$E99&lt;&gt;0,0,NSTonghop!V99)</f>
        <v>0</v>
      </c>
      <c r="W99" s="162" t="str">
        <f>IF(NSTonghop!$E99&lt;&gt;0,0,NSTonghop!W99)</f>
        <v/>
      </c>
      <c r="X99" s="162">
        <f>IF(NSTonghop!$E99&lt;&gt;0,0,NSTonghop!X99)</f>
        <v>0</v>
      </c>
      <c r="Y99" s="162">
        <f>IF(NSTonghop!$E99&lt;&gt;0,0,NSTonghop!Y99)</f>
        <v>0</v>
      </c>
      <c r="Z99" s="162">
        <f>IF(NSTonghop!$E99&lt;&gt;0,0,NSTonghop!Z99)</f>
        <v>0</v>
      </c>
      <c r="AA99" s="162">
        <f>IF(NSTonghop!$E99&lt;&gt;0,0,NSTonghop!AA99)</f>
        <v>0</v>
      </c>
      <c r="AB99" s="162">
        <f>IF(NSTonghop!$E99&lt;&gt;0,0,NSTonghop!AB99)</f>
        <v>0</v>
      </c>
      <c r="AC99" s="162">
        <f>IF(NSTonghop!$E99&lt;&gt;0,0,NSTonghop!AC99)</f>
        <v>0</v>
      </c>
      <c r="AD99" s="162">
        <f>IF(NSTonghop!$E99&lt;&gt;0,0,NSTonghop!AD99)</f>
        <v>0</v>
      </c>
      <c r="AE99" s="162">
        <f>IF(NSTonghop!$E99&lt;&gt;0,0,NSTonghop!AE99)</f>
        <v>0</v>
      </c>
      <c r="AF99" s="162">
        <f>IF(NSTonghop!$E99&lt;&gt;0,0,NSTonghop!AF99)</f>
        <v>0</v>
      </c>
      <c r="AG99" s="162">
        <f>IF(NSTonghop!$E99&lt;&gt;0,0,NSTonghop!AG99)</f>
        <v>0</v>
      </c>
      <c r="AH99" s="162">
        <f>IF(NSTonghop!$E99&lt;&gt;0,0,NSTonghop!AH99)</f>
        <v>0</v>
      </c>
      <c r="AI99" s="162">
        <f>IF(NSTonghop!$E99&lt;&gt;0,0,NSTonghop!AI99)</f>
        <v>0</v>
      </c>
      <c r="AJ99" s="162">
        <f>IF(NSTonghop!$E99&lt;&gt;0,0,NSTonghop!AJ99)</f>
        <v>0</v>
      </c>
      <c r="AK99" s="162">
        <f>IF(NSTonghop!$E99&lt;&gt;0,0,NSTonghop!AK99)</f>
        <v>0</v>
      </c>
      <c r="AL99" s="162">
        <f>IF(NSTonghop!$E99&lt;&gt;0,0,NSTonghop!AL99)</f>
        <v>0</v>
      </c>
      <c r="AM99" s="162">
        <f>IF(NSTonghop!$E99&lt;&gt;0,0,NSTonghop!AM99)</f>
        <v>0</v>
      </c>
      <c r="AN99" s="162">
        <f>IF(NSTonghop!$E99&lt;&gt;0,0,NSTonghop!AN99)</f>
        <v>0</v>
      </c>
      <c r="AO99" s="162">
        <f>IF(NSTonghop!$E99&lt;&gt;0,0,NSTonghop!AO99)</f>
        <v>0</v>
      </c>
      <c r="AP99" s="162">
        <f>IF(NSTonghop!$E99&lt;&gt;0,0,NSTonghop!AP99)</f>
        <v>0</v>
      </c>
      <c r="AQ99" s="162" t="str">
        <f>IF(NSTonghop!$E99&lt;&gt;0,0,NSTonghop!AQ99)</f>
        <v/>
      </c>
      <c r="AR99" s="162">
        <f>IF(NSTonghop!$E99&lt;&gt;0,0,NSTonghop!AR99)</f>
        <v>0</v>
      </c>
      <c r="AS99" s="162">
        <f>IF(NSTonghop!$E99&lt;&gt;0,0,NSTonghop!AS99)</f>
        <v>0</v>
      </c>
      <c r="AT99" s="162">
        <f>IF(NSTonghop!$E99&lt;&gt;0,0,NSTonghop!AT99)</f>
        <v>0</v>
      </c>
      <c r="AU99" s="212"/>
    </row>
    <row r="100" spans="1:47" hidden="1" x14ac:dyDescent="0.25">
      <c r="A100" s="220"/>
      <c r="B100" s="162" t="str">
        <f>IF(F100&lt;&gt;0,MAX($B$8:B99)+1,"")</f>
        <v/>
      </c>
      <c r="C100" s="191"/>
      <c r="D100" s="164">
        <f>IF(NSTonghop!$E100&lt;&gt;0,0,NSTonghop!D100)</f>
        <v>0</v>
      </c>
      <c r="E100" s="162">
        <f>IF(NSTonghop!E100&lt;&gt;0,0,0)</f>
        <v>0</v>
      </c>
      <c r="F100" s="162">
        <f>IF(NSTonghop!$E100&lt;&gt;0,0,NSTonghop!F100)</f>
        <v>0</v>
      </c>
      <c r="G100" s="162">
        <f>IF(NSTonghop!$E100&lt;&gt;0,0,NSTonghop!G100)</f>
        <v>0</v>
      </c>
      <c r="H100" s="162">
        <f>IF(NSTonghop!$E100&lt;&gt;0,0,NSTonghop!H100)</f>
        <v>0</v>
      </c>
      <c r="I100" s="162">
        <f>IF(NSTonghop!$E100&lt;&gt;0,0,NSTonghop!I100)</f>
        <v>0</v>
      </c>
      <c r="J100" s="162">
        <f>IF(NSTonghop!$E100&lt;&gt;0,0,NSTonghop!J100)</f>
        <v>0</v>
      </c>
      <c r="K100" s="162">
        <f>IF(NSTonghop!$E100&lt;&gt;0,0,NSTonghop!K100)</f>
        <v>0</v>
      </c>
      <c r="L100" s="162">
        <f>IF(NSTonghop!$E100&lt;&gt;0,0,NSTonghop!L100)</f>
        <v>0</v>
      </c>
      <c r="M100" s="162">
        <f>IF(NSTonghop!$E100&lt;&gt;0,0,NSTonghop!M100)</f>
        <v>0</v>
      </c>
      <c r="N100" s="162">
        <f>IF(NSTonghop!$E100&lt;&gt;0,0,NSTonghop!N100)</f>
        <v>0</v>
      </c>
      <c r="O100" s="162">
        <f>IF(NSTonghop!$E100&lt;&gt;0,0,NSTonghop!O100)</f>
        <v>0</v>
      </c>
      <c r="P100" s="162">
        <f>IF(NSTonghop!$E100&lt;&gt;0,0,NSTonghop!P100)</f>
        <v>0</v>
      </c>
      <c r="Q100" s="162">
        <f>IF(NSTonghop!$E100&lt;&gt;0,0,NSTonghop!Q100)</f>
        <v>0</v>
      </c>
      <c r="R100" s="162">
        <f>IF(NSTonghop!$E100&lt;&gt;0,0,NSTonghop!R100)</f>
        <v>0</v>
      </c>
      <c r="S100" s="162">
        <f>IF(NSTonghop!$E100&lt;&gt;0,0,NSTonghop!S100)</f>
        <v>0</v>
      </c>
      <c r="T100" s="162">
        <f>IF(NSTonghop!$E100&lt;&gt;0,0,NSTonghop!T100)</f>
        <v>0</v>
      </c>
      <c r="U100" s="162">
        <f>IF(NSTonghop!$E100&lt;&gt;0,0,NSTonghop!U100)</f>
        <v>0</v>
      </c>
      <c r="V100" s="162">
        <f>IF(NSTonghop!$E100&lt;&gt;0,0,NSTonghop!V100)</f>
        <v>0</v>
      </c>
      <c r="W100" s="162" t="str">
        <f>IF(NSTonghop!$E100&lt;&gt;0,0,NSTonghop!W100)</f>
        <v/>
      </c>
      <c r="X100" s="162">
        <f>IF(NSTonghop!$E100&lt;&gt;0,0,NSTonghop!X100)</f>
        <v>0</v>
      </c>
      <c r="Y100" s="162">
        <f>IF(NSTonghop!$E100&lt;&gt;0,0,NSTonghop!Y100)</f>
        <v>0</v>
      </c>
      <c r="Z100" s="162">
        <f>IF(NSTonghop!$E100&lt;&gt;0,0,NSTonghop!Z100)</f>
        <v>0</v>
      </c>
      <c r="AA100" s="162">
        <f>IF(NSTonghop!$E100&lt;&gt;0,0,NSTonghop!AA100)</f>
        <v>0</v>
      </c>
      <c r="AB100" s="162">
        <f>IF(NSTonghop!$E100&lt;&gt;0,0,NSTonghop!AB100)</f>
        <v>0</v>
      </c>
      <c r="AC100" s="162">
        <f>IF(NSTonghop!$E100&lt;&gt;0,0,NSTonghop!AC100)</f>
        <v>0</v>
      </c>
      <c r="AD100" s="162">
        <f>IF(NSTonghop!$E100&lt;&gt;0,0,NSTonghop!AD100)</f>
        <v>0</v>
      </c>
      <c r="AE100" s="162">
        <f>IF(NSTonghop!$E100&lt;&gt;0,0,NSTonghop!AE100)</f>
        <v>0</v>
      </c>
      <c r="AF100" s="162">
        <f>IF(NSTonghop!$E100&lt;&gt;0,0,NSTonghop!AF100)</f>
        <v>0</v>
      </c>
      <c r="AG100" s="162">
        <f>IF(NSTonghop!$E100&lt;&gt;0,0,NSTonghop!AG100)</f>
        <v>0</v>
      </c>
      <c r="AH100" s="162">
        <f>IF(NSTonghop!$E100&lt;&gt;0,0,NSTonghop!AH100)</f>
        <v>0</v>
      </c>
      <c r="AI100" s="162">
        <f>IF(NSTonghop!$E100&lt;&gt;0,0,NSTonghop!AI100)</f>
        <v>0</v>
      </c>
      <c r="AJ100" s="162">
        <f>IF(NSTonghop!$E100&lt;&gt;0,0,NSTonghop!AJ100)</f>
        <v>0</v>
      </c>
      <c r="AK100" s="162">
        <f>IF(NSTonghop!$E100&lt;&gt;0,0,NSTonghop!AK100)</f>
        <v>0</v>
      </c>
      <c r="AL100" s="162">
        <f>IF(NSTonghop!$E100&lt;&gt;0,0,NSTonghop!AL100)</f>
        <v>0</v>
      </c>
      <c r="AM100" s="162">
        <f>IF(NSTonghop!$E100&lt;&gt;0,0,NSTonghop!AM100)</f>
        <v>0</v>
      </c>
      <c r="AN100" s="162">
        <f>IF(NSTonghop!$E100&lt;&gt;0,0,NSTonghop!AN100)</f>
        <v>0</v>
      </c>
      <c r="AO100" s="162">
        <f>IF(NSTonghop!$E100&lt;&gt;0,0,NSTonghop!AO100)</f>
        <v>0</v>
      </c>
      <c r="AP100" s="162">
        <f>IF(NSTonghop!$E100&lt;&gt;0,0,NSTonghop!AP100)</f>
        <v>0</v>
      </c>
      <c r="AQ100" s="162" t="str">
        <f>IF(NSTonghop!$E100&lt;&gt;0,0,NSTonghop!AQ100)</f>
        <v/>
      </c>
      <c r="AR100" s="162">
        <f>IF(NSTonghop!$E100&lt;&gt;0,0,NSTonghop!AR100)</f>
        <v>0</v>
      </c>
      <c r="AS100" s="162">
        <f>IF(NSTonghop!$E100&lt;&gt;0,0,NSTonghop!AS100)</f>
        <v>0</v>
      </c>
      <c r="AT100" s="162">
        <f>IF(NSTonghop!$E100&lt;&gt;0,0,NSTonghop!AT100)</f>
        <v>0</v>
      </c>
      <c r="AU100" s="212"/>
    </row>
    <row r="101" spans="1:47" hidden="1" x14ac:dyDescent="0.25">
      <c r="A101" s="220"/>
      <c r="B101" s="162" t="str">
        <f>IF(F101&lt;&gt;0,MAX($B$8:B100)+1,"")</f>
        <v/>
      </c>
      <c r="C101" s="191"/>
      <c r="D101" s="164">
        <f>IF(NSTonghop!$E101&lt;&gt;0,0,NSTonghop!D101)</f>
        <v>0</v>
      </c>
      <c r="E101" s="162">
        <f>IF(NSTonghop!E101&lt;&gt;0,0,0)</f>
        <v>0</v>
      </c>
      <c r="F101" s="162">
        <f>IF(NSTonghop!$E101&lt;&gt;0,0,NSTonghop!F101)</f>
        <v>0</v>
      </c>
      <c r="G101" s="162">
        <f>IF(NSTonghop!$E101&lt;&gt;0,0,NSTonghop!G101)</f>
        <v>0</v>
      </c>
      <c r="H101" s="162">
        <f>IF(NSTonghop!$E101&lt;&gt;0,0,NSTonghop!H101)</f>
        <v>0</v>
      </c>
      <c r="I101" s="162">
        <f>IF(NSTonghop!$E101&lt;&gt;0,0,NSTonghop!I101)</f>
        <v>0</v>
      </c>
      <c r="J101" s="162">
        <f>IF(NSTonghop!$E101&lt;&gt;0,0,NSTonghop!J101)</f>
        <v>0</v>
      </c>
      <c r="K101" s="162">
        <f>IF(NSTonghop!$E101&lt;&gt;0,0,NSTonghop!K101)</f>
        <v>0</v>
      </c>
      <c r="L101" s="162">
        <f>IF(NSTonghop!$E101&lt;&gt;0,0,NSTonghop!L101)</f>
        <v>0</v>
      </c>
      <c r="M101" s="162">
        <f>IF(NSTonghop!$E101&lt;&gt;0,0,NSTonghop!M101)</f>
        <v>0</v>
      </c>
      <c r="N101" s="162">
        <f>IF(NSTonghop!$E101&lt;&gt;0,0,NSTonghop!N101)</f>
        <v>0</v>
      </c>
      <c r="O101" s="162">
        <f>IF(NSTonghop!$E101&lt;&gt;0,0,NSTonghop!O101)</f>
        <v>0</v>
      </c>
      <c r="P101" s="162">
        <f>IF(NSTonghop!$E101&lt;&gt;0,0,NSTonghop!P101)</f>
        <v>0</v>
      </c>
      <c r="Q101" s="162">
        <f>IF(NSTonghop!$E101&lt;&gt;0,0,NSTonghop!Q101)</f>
        <v>0</v>
      </c>
      <c r="R101" s="162">
        <f>IF(NSTonghop!$E101&lt;&gt;0,0,NSTonghop!R101)</f>
        <v>0</v>
      </c>
      <c r="S101" s="162">
        <f>IF(NSTonghop!$E101&lt;&gt;0,0,NSTonghop!S101)</f>
        <v>0</v>
      </c>
      <c r="T101" s="162">
        <f>IF(NSTonghop!$E101&lt;&gt;0,0,NSTonghop!T101)</f>
        <v>0</v>
      </c>
      <c r="U101" s="162">
        <f>IF(NSTonghop!$E101&lt;&gt;0,0,NSTonghop!U101)</f>
        <v>0</v>
      </c>
      <c r="V101" s="162">
        <f>IF(NSTonghop!$E101&lt;&gt;0,0,NSTonghop!V101)</f>
        <v>0</v>
      </c>
      <c r="W101" s="162" t="str">
        <f>IF(NSTonghop!$E101&lt;&gt;0,0,NSTonghop!W101)</f>
        <v/>
      </c>
      <c r="X101" s="162">
        <f>IF(NSTonghop!$E101&lt;&gt;0,0,NSTonghop!X101)</f>
        <v>0</v>
      </c>
      <c r="Y101" s="162">
        <f>IF(NSTonghop!$E101&lt;&gt;0,0,NSTonghop!Y101)</f>
        <v>0</v>
      </c>
      <c r="Z101" s="162">
        <f>IF(NSTonghop!$E101&lt;&gt;0,0,NSTonghop!Z101)</f>
        <v>0</v>
      </c>
      <c r="AA101" s="162">
        <f>IF(NSTonghop!$E101&lt;&gt;0,0,NSTonghop!AA101)</f>
        <v>0</v>
      </c>
      <c r="AB101" s="162">
        <f>IF(NSTonghop!$E101&lt;&gt;0,0,NSTonghop!AB101)</f>
        <v>0</v>
      </c>
      <c r="AC101" s="162">
        <f>IF(NSTonghop!$E101&lt;&gt;0,0,NSTonghop!AC101)</f>
        <v>0</v>
      </c>
      <c r="AD101" s="162">
        <f>IF(NSTonghop!$E101&lt;&gt;0,0,NSTonghop!AD101)</f>
        <v>0</v>
      </c>
      <c r="AE101" s="162">
        <f>IF(NSTonghop!$E101&lt;&gt;0,0,NSTonghop!AE101)</f>
        <v>0</v>
      </c>
      <c r="AF101" s="162">
        <f>IF(NSTonghop!$E101&lt;&gt;0,0,NSTonghop!AF101)</f>
        <v>0</v>
      </c>
      <c r="AG101" s="162">
        <f>IF(NSTonghop!$E101&lt;&gt;0,0,NSTonghop!AG101)</f>
        <v>0</v>
      </c>
      <c r="AH101" s="162">
        <f>IF(NSTonghop!$E101&lt;&gt;0,0,NSTonghop!AH101)</f>
        <v>0</v>
      </c>
      <c r="AI101" s="162">
        <f>IF(NSTonghop!$E101&lt;&gt;0,0,NSTonghop!AI101)</f>
        <v>0</v>
      </c>
      <c r="AJ101" s="162">
        <f>IF(NSTonghop!$E101&lt;&gt;0,0,NSTonghop!AJ101)</f>
        <v>0</v>
      </c>
      <c r="AK101" s="162">
        <f>IF(NSTonghop!$E101&lt;&gt;0,0,NSTonghop!AK101)</f>
        <v>0</v>
      </c>
      <c r="AL101" s="162">
        <f>IF(NSTonghop!$E101&lt;&gt;0,0,NSTonghop!AL101)</f>
        <v>0</v>
      </c>
      <c r="AM101" s="162">
        <f>IF(NSTonghop!$E101&lt;&gt;0,0,NSTonghop!AM101)</f>
        <v>0</v>
      </c>
      <c r="AN101" s="162">
        <f>IF(NSTonghop!$E101&lt;&gt;0,0,NSTonghop!AN101)</f>
        <v>0</v>
      </c>
      <c r="AO101" s="162">
        <f>IF(NSTonghop!$E101&lt;&gt;0,0,NSTonghop!AO101)</f>
        <v>0</v>
      </c>
      <c r="AP101" s="162">
        <f>IF(NSTonghop!$E101&lt;&gt;0,0,NSTonghop!AP101)</f>
        <v>0</v>
      </c>
      <c r="AQ101" s="162" t="str">
        <f>IF(NSTonghop!$E101&lt;&gt;0,0,NSTonghop!AQ101)</f>
        <v/>
      </c>
      <c r="AR101" s="162">
        <f>IF(NSTonghop!$E101&lt;&gt;0,0,NSTonghop!AR101)</f>
        <v>0</v>
      </c>
      <c r="AS101" s="162">
        <f>IF(NSTonghop!$E101&lt;&gt;0,0,NSTonghop!AS101)</f>
        <v>0</v>
      </c>
      <c r="AT101" s="162">
        <f>IF(NSTonghop!$E101&lt;&gt;0,0,NSTonghop!AT101)</f>
        <v>0</v>
      </c>
      <c r="AU101" s="212"/>
    </row>
    <row r="102" spans="1:47" hidden="1" x14ac:dyDescent="0.25">
      <c r="A102" s="220"/>
      <c r="B102" s="162" t="str">
        <f>IF(F102&lt;&gt;0,MAX($B$8:B101)+1,"")</f>
        <v/>
      </c>
      <c r="C102" s="191"/>
      <c r="D102" s="164">
        <f>IF(NSTonghop!$E102&lt;&gt;0,0,NSTonghop!D102)</f>
        <v>0</v>
      </c>
      <c r="E102" s="162">
        <f>IF(NSTonghop!E102&lt;&gt;0,0,0)</f>
        <v>0</v>
      </c>
      <c r="F102" s="162">
        <f>IF(NSTonghop!$E102&lt;&gt;0,0,NSTonghop!F102)</f>
        <v>0</v>
      </c>
      <c r="G102" s="162">
        <f>IF(NSTonghop!$E102&lt;&gt;0,0,NSTonghop!G102)</f>
        <v>0</v>
      </c>
      <c r="H102" s="162">
        <f>IF(NSTonghop!$E102&lt;&gt;0,0,NSTonghop!H102)</f>
        <v>0</v>
      </c>
      <c r="I102" s="162">
        <f>IF(NSTonghop!$E102&lt;&gt;0,0,NSTonghop!I102)</f>
        <v>0</v>
      </c>
      <c r="J102" s="162">
        <f>IF(NSTonghop!$E102&lt;&gt;0,0,NSTonghop!J102)</f>
        <v>0</v>
      </c>
      <c r="K102" s="162">
        <f>IF(NSTonghop!$E102&lt;&gt;0,0,NSTonghop!K102)</f>
        <v>0</v>
      </c>
      <c r="L102" s="162">
        <f>IF(NSTonghop!$E102&lt;&gt;0,0,NSTonghop!L102)</f>
        <v>0</v>
      </c>
      <c r="M102" s="162">
        <f>IF(NSTonghop!$E102&lt;&gt;0,0,NSTonghop!M102)</f>
        <v>0</v>
      </c>
      <c r="N102" s="162">
        <f>IF(NSTonghop!$E102&lt;&gt;0,0,NSTonghop!N102)</f>
        <v>0</v>
      </c>
      <c r="O102" s="162">
        <f>IF(NSTonghop!$E102&lt;&gt;0,0,NSTonghop!O102)</f>
        <v>0</v>
      </c>
      <c r="P102" s="162">
        <f>IF(NSTonghop!$E102&lt;&gt;0,0,NSTonghop!P102)</f>
        <v>0</v>
      </c>
      <c r="Q102" s="162">
        <f>IF(NSTonghop!$E102&lt;&gt;0,0,NSTonghop!Q102)</f>
        <v>0</v>
      </c>
      <c r="R102" s="162">
        <f>IF(NSTonghop!$E102&lt;&gt;0,0,NSTonghop!R102)</f>
        <v>0</v>
      </c>
      <c r="S102" s="162">
        <f>IF(NSTonghop!$E102&lt;&gt;0,0,NSTonghop!S102)</f>
        <v>0</v>
      </c>
      <c r="T102" s="162">
        <f>IF(NSTonghop!$E102&lt;&gt;0,0,NSTonghop!T102)</f>
        <v>0</v>
      </c>
      <c r="U102" s="162">
        <f>IF(NSTonghop!$E102&lt;&gt;0,0,NSTonghop!U102)</f>
        <v>0</v>
      </c>
      <c r="V102" s="162">
        <f>IF(NSTonghop!$E102&lt;&gt;0,0,NSTonghop!V102)</f>
        <v>0</v>
      </c>
      <c r="W102" s="162" t="str">
        <f>IF(NSTonghop!$E102&lt;&gt;0,0,NSTonghop!W102)</f>
        <v/>
      </c>
      <c r="X102" s="162">
        <f>IF(NSTonghop!$E102&lt;&gt;0,0,NSTonghop!X102)</f>
        <v>0</v>
      </c>
      <c r="Y102" s="162">
        <f>IF(NSTonghop!$E102&lt;&gt;0,0,NSTonghop!Y102)</f>
        <v>0</v>
      </c>
      <c r="Z102" s="162">
        <f>IF(NSTonghop!$E102&lt;&gt;0,0,NSTonghop!Z102)</f>
        <v>0</v>
      </c>
      <c r="AA102" s="162">
        <f>IF(NSTonghop!$E102&lt;&gt;0,0,NSTonghop!AA102)</f>
        <v>0</v>
      </c>
      <c r="AB102" s="162">
        <f>IF(NSTonghop!$E102&lt;&gt;0,0,NSTonghop!AB102)</f>
        <v>0</v>
      </c>
      <c r="AC102" s="162">
        <f>IF(NSTonghop!$E102&lt;&gt;0,0,NSTonghop!AC102)</f>
        <v>0</v>
      </c>
      <c r="AD102" s="162">
        <f>IF(NSTonghop!$E102&lt;&gt;0,0,NSTonghop!AD102)</f>
        <v>0</v>
      </c>
      <c r="AE102" s="162">
        <f>IF(NSTonghop!$E102&lt;&gt;0,0,NSTonghop!AE102)</f>
        <v>0</v>
      </c>
      <c r="AF102" s="162">
        <f>IF(NSTonghop!$E102&lt;&gt;0,0,NSTonghop!AF102)</f>
        <v>0</v>
      </c>
      <c r="AG102" s="162">
        <f>IF(NSTonghop!$E102&lt;&gt;0,0,NSTonghop!AG102)</f>
        <v>0</v>
      </c>
      <c r="AH102" s="162">
        <f>IF(NSTonghop!$E102&lt;&gt;0,0,NSTonghop!AH102)</f>
        <v>0</v>
      </c>
      <c r="AI102" s="162">
        <f>IF(NSTonghop!$E102&lt;&gt;0,0,NSTonghop!AI102)</f>
        <v>0</v>
      </c>
      <c r="AJ102" s="162">
        <f>IF(NSTonghop!$E102&lt;&gt;0,0,NSTonghop!AJ102)</f>
        <v>0</v>
      </c>
      <c r="AK102" s="162">
        <f>IF(NSTonghop!$E102&lt;&gt;0,0,NSTonghop!AK102)</f>
        <v>0</v>
      </c>
      <c r="AL102" s="162">
        <f>IF(NSTonghop!$E102&lt;&gt;0,0,NSTonghop!AL102)</f>
        <v>0</v>
      </c>
      <c r="AM102" s="162">
        <f>IF(NSTonghop!$E102&lt;&gt;0,0,NSTonghop!AM102)</f>
        <v>0</v>
      </c>
      <c r="AN102" s="162">
        <f>IF(NSTonghop!$E102&lt;&gt;0,0,NSTonghop!AN102)</f>
        <v>0</v>
      </c>
      <c r="AO102" s="162">
        <f>IF(NSTonghop!$E102&lt;&gt;0,0,NSTonghop!AO102)</f>
        <v>0</v>
      </c>
      <c r="AP102" s="162">
        <f>IF(NSTonghop!$E102&lt;&gt;0,0,NSTonghop!AP102)</f>
        <v>0</v>
      </c>
      <c r="AQ102" s="162" t="str">
        <f>IF(NSTonghop!$E102&lt;&gt;0,0,NSTonghop!AQ102)</f>
        <v/>
      </c>
      <c r="AR102" s="162">
        <f>IF(NSTonghop!$E102&lt;&gt;0,0,NSTonghop!AR102)</f>
        <v>0</v>
      </c>
      <c r="AS102" s="162">
        <f>IF(NSTonghop!$E102&lt;&gt;0,0,NSTonghop!AS102)</f>
        <v>0</v>
      </c>
      <c r="AT102" s="162">
        <f>IF(NSTonghop!$E102&lt;&gt;0,0,NSTonghop!AT102)</f>
        <v>0</v>
      </c>
      <c r="AU102" s="212"/>
    </row>
    <row r="103" spans="1:47" hidden="1" x14ac:dyDescent="0.25">
      <c r="A103" s="220"/>
      <c r="B103" s="162" t="str">
        <f>IF(F103&lt;&gt;0,MAX($B$8:B102)+1,"")</f>
        <v/>
      </c>
      <c r="C103" s="191"/>
      <c r="D103" s="164">
        <f>IF(NSTonghop!$E103&lt;&gt;0,0,NSTonghop!D103)</f>
        <v>0</v>
      </c>
      <c r="E103" s="162">
        <f>IF(NSTonghop!E103&lt;&gt;0,0,0)</f>
        <v>0</v>
      </c>
      <c r="F103" s="162">
        <f>IF(NSTonghop!$E103&lt;&gt;0,0,NSTonghop!F103)</f>
        <v>0</v>
      </c>
      <c r="G103" s="162">
        <f>IF(NSTonghop!$E103&lt;&gt;0,0,NSTonghop!G103)</f>
        <v>0</v>
      </c>
      <c r="H103" s="162">
        <f>IF(NSTonghop!$E103&lt;&gt;0,0,NSTonghop!H103)</f>
        <v>0</v>
      </c>
      <c r="I103" s="162">
        <f>IF(NSTonghop!$E103&lt;&gt;0,0,NSTonghop!I103)</f>
        <v>0</v>
      </c>
      <c r="J103" s="162">
        <f>IF(NSTonghop!$E103&lt;&gt;0,0,NSTonghop!J103)</f>
        <v>0</v>
      </c>
      <c r="K103" s="162">
        <f>IF(NSTonghop!$E103&lt;&gt;0,0,NSTonghop!K103)</f>
        <v>0</v>
      </c>
      <c r="L103" s="162">
        <f>IF(NSTonghop!$E103&lt;&gt;0,0,NSTonghop!L103)</f>
        <v>0</v>
      </c>
      <c r="M103" s="162">
        <f>IF(NSTonghop!$E103&lt;&gt;0,0,NSTonghop!M103)</f>
        <v>0</v>
      </c>
      <c r="N103" s="162">
        <f>IF(NSTonghop!$E103&lt;&gt;0,0,NSTonghop!N103)</f>
        <v>0</v>
      </c>
      <c r="O103" s="162">
        <f>IF(NSTonghop!$E103&lt;&gt;0,0,NSTonghop!O103)</f>
        <v>0</v>
      </c>
      <c r="P103" s="162">
        <f>IF(NSTonghop!$E103&lt;&gt;0,0,NSTonghop!P103)</f>
        <v>0</v>
      </c>
      <c r="Q103" s="162">
        <f>IF(NSTonghop!$E103&lt;&gt;0,0,NSTonghop!Q103)</f>
        <v>0</v>
      </c>
      <c r="R103" s="162">
        <f>IF(NSTonghop!$E103&lt;&gt;0,0,NSTonghop!R103)</f>
        <v>0</v>
      </c>
      <c r="S103" s="162">
        <f>IF(NSTonghop!$E103&lt;&gt;0,0,NSTonghop!S103)</f>
        <v>0</v>
      </c>
      <c r="T103" s="162">
        <f>IF(NSTonghop!$E103&lt;&gt;0,0,NSTonghop!T103)</f>
        <v>0</v>
      </c>
      <c r="U103" s="162">
        <f>IF(NSTonghop!$E103&lt;&gt;0,0,NSTonghop!U103)</f>
        <v>0</v>
      </c>
      <c r="V103" s="162">
        <f>IF(NSTonghop!$E103&lt;&gt;0,0,NSTonghop!V103)</f>
        <v>0</v>
      </c>
      <c r="W103" s="162" t="str">
        <f>IF(NSTonghop!$E103&lt;&gt;0,0,NSTonghop!W103)</f>
        <v/>
      </c>
      <c r="X103" s="162">
        <f>IF(NSTonghop!$E103&lt;&gt;0,0,NSTonghop!X103)</f>
        <v>0</v>
      </c>
      <c r="Y103" s="162">
        <f>IF(NSTonghop!$E103&lt;&gt;0,0,NSTonghop!Y103)</f>
        <v>0</v>
      </c>
      <c r="Z103" s="162">
        <f>IF(NSTonghop!$E103&lt;&gt;0,0,NSTonghop!Z103)</f>
        <v>0</v>
      </c>
      <c r="AA103" s="162">
        <f>IF(NSTonghop!$E103&lt;&gt;0,0,NSTonghop!AA103)</f>
        <v>0</v>
      </c>
      <c r="AB103" s="162">
        <f>IF(NSTonghop!$E103&lt;&gt;0,0,NSTonghop!AB103)</f>
        <v>0</v>
      </c>
      <c r="AC103" s="162">
        <f>IF(NSTonghop!$E103&lt;&gt;0,0,NSTonghop!AC103)</f>
        <v>0</v>
      </c>
      <c r="AD103" s="162">
        <f>IF(NSTonghop!$E103&lt;&gt;0,0,NSTonghop!AD103)</f>
        <v>0</v>
      </c>
      <c r="AE103" s="162">
        <f>IF(NSTonghop!$E103&lt;&gt;0,0,NSTonghop!AE103)</f>
        <v>0</v>
      </c>
      <c r="AF103" s="162">
        <f>IF(NSTonghop!$E103&lt;&gt;0,0,NSTonghop!AF103)</f>
        <v>0</v>
      </c>
      <c r="AG103" s="162">
        <f>IF(NSTonghop!$E103&lt;&gt;0,0,NSTonghop!AG103)</f>
        <v>0</v>
      </c>
      <c r="AH103" s="162">
        <f>IF(NSTonghop!$E103&lt;&gt;0,0,NSTonghop!AH103)</f>
        <v>0</v>
      </c>
      <c r="AI103" s="162">
        <f>IF(NSTonghop!$E103&lt;&gt;0,0,NSTonghop!AI103)</f>
        <v>0</v>
      </c>
      <c r="AJ103" s="162">
        <f>IF(NSTonghop!$E103&lt;&gt;0,0,NSTonghop!AJ103)</f>
        <v>0</v>
      </c>
      <c r="AK103" s="162">
        <f>IF(NSTonghop!$E103&lt;&gt;0,0,NSTonghop!AK103)</f>
        <v>0</v>
      </c>
      <c r="AL103" s="162">
        <f>IF(NSTonghop!$E103&lt;&gt;0,0,NSTonghop!AL103)</f>
        <v>0</v>
      </c>
      <c r="AM103" s="162">
        <f>IF(NSTonghop!$E103&lt;&gt;0,0,NSTonghop!AM103)</f>
        <v>0</v>
      </c>
      <c r="AN103" s="162">
        <f>IF(NSTonghop!$E103&lt;&gt;0,0,NSTonghop!AN103)</f>
        <v>0</v>
      </c>
      <c r="AO103" s="162">
        <f>IF(NSTonghop!$E103&lt;&gt;0,0,NSTonghop!AO103)</f>
        <v>0</v>
      </c>
      <c r="AP103" s="162">
        <f>IF(NSTonghop!$E103&lt;&gt;0,0,NSTonghop!AP103)</f>
        <v>0</v>
      </c>
      <c r="AQ103" s="162" t="str">
        <f>IF(NSTonghop!$E103&lt;&gt;0,0,NSTonghop!AQ103)</f>
        <v/>
      </c>
      <c r="AR103" s="162">
        <f>IF(NSTonghop!$E103&lt;&gt;0,0,NSTonghop!AR103)</f>
        <v>0</v>
      </c>
      <c r="AS103" s="162">
        <f>IF(NSTonghop!$E103&lt;&gt;0,0,NSTonghop!AS103)</f>
        <v>0</v>
      </c>
      <c r="AT103" s="162">
        <f>IF(NSTonghop!$E103&lt;&gt;0,0,NSTonghop!AT103)</f>
        <v>0</v>
      </c>
      <c r="AU103" s="212"/>
    </row>
    <row r="104" spans="1:47" hidden="1" x14ac:dyDescent="0.25">
      <c r="A104" s="220"/>
      <c r="B104" s="162" t="str">
        <f>IF(F104&lt;&gt;0,MAX($B$8:B103)+1,"")</f>
        <v/>
      </c>
      <c r="C104" s="191"/>
      <c r="D104" s="164">
        <f>IF(NSTonghop!$E104&lt;&gt;0,0,NSTonghop!D104)</f>
        <v>0</v>
      </c>
      <c r="E104" s="162">
        <f>IF(NSTonghop!E104&lt;&gt;0,0,0)</f>
        <v>0</v>
      </c>
      <c r="F104" s="162">
        <f>IF(NSTonghop!$E104&lt;&gt;0,0,NSTonghop!F104)</f>
        <v>0</v>
      </c>
      <c r="G104" s="162">
        <f>IF(NSTonghop!$E104&lt;&gt;0,0,NSTonghop!G104)</f>
        <v>0</v>
      </c>
      <c r="H104" s="162">
        <f>IF(NSTonghop!$E104&lt;&gt;0,0,NSTonghop!H104)</f>
        <v>0</v>
      </c>
      <c r="I104" s="162">
        <f>IF(NSTonghop!$E104&lt;&gt;0,0,NSTonghop!I104)</f>
        <v>0</v>
      </c>
      <c r="J104" s="162">
        <f>IF(NSTonghop!$E104&lt;&gt;0,0,NSTonghop!J104)</f>
        <v>0</v>
      </c>
      <c r="K104" s="162">
        <f>IF(NSTonghop!$E104&lt;&gt;0,0,NSTonghop!K104)</f>
        <v>0</v>
      </c>
      <c r="L104" s="162">
        <f>IF(NSTonghop!$E104&lt;&gt;0,0,NSTonghop!L104)</f>
        <v>0</v>
      </c>
      <c r="M104" s="162">
        <f>IF(NSTonghop!$E104&lt;&gt;0,0,NSTonghop!M104)</f>
        <v>0</v>
      </c>
      <c r="N104" s="162">
        <f>IF(NSTonghop!$E104&lt;&gt;0,0,NSTonghop!N104)</f>
        <v>0</v>
      </c>
      <c r="O104" s="162">
        <f>IF(NSTonghop!$E104&lt;&gt;0,0,NSTonghop!O104)</f>
        <v>0</v>
      </c>
      <c r="P104" s="162">
        <f>IF(NSTonghop!$E104&lt;&gt;0,0,NSTonghop!P104)</f>
        <v>0</v>
      </c>
      <c r="Q104" s="162">
        <f>IF(NSTonghop!$E104&lt;&gt;0,0,NSTonghop!Q104)</f>
        <v>0</v>
      </c>
      <c r="R104" s="162">
        <f>IF(NSTonghop!$E104&lt;&gt;0,0,NSTonghop!R104)</f>
        <v>0</v>
      </c>
      <c r="S104" s="162">
        <f>IF(NSTonghop!$E104&lt;&gt;0,0,NSTonghop!S104)</f>
        <v>0</v>
      </c>
      <c r="T104" s="162">
        <f>IF(NSTonghop!$E104&lt;&gt;0,0,NSTonghop!T104)</f>
        <v>0</v>
      </c>
      <c r="U104" s="162">
        <f>IF(NSTonghop!$E104&lt;&gt;0,0,NSTonghop!U104)</f>
        <v>0</v>
      </c>
      <c r="V104" s="162">
        <f>IF(NSTonghop!$E104&lt;&gt;0,0,NSTonghop!V104)</f>
        <v>0</v>
      </c>
      <c r="W104" s="162" t="str">
        <f>IF(NSTonghop!$E104&lt;&gt;0,0,NSTonghop!W104)</f>
        <v/>
      </c>
      <c r="X104" s="162">
        <f>IF(NSTonghop!$E104&lt;&gt;0,0,NSTonghop!X104)</f>
        <v>0</v>
      </c>
      <c r="Y104" s="162">
        <f>IF(NSTonghop!$E104&lt;&gt;0,0,NSTonghop!Y104)</f>
        <v>0</v>
      </c>
      <c r="Z104" s="162">
        <f>IF(NSTonghop!$E104&lt;&gt;0,0,NSTonghop!Z104)</f>
        <v>0</v>
      </c>
      <c r="AA104" s="162">
        <f>IF(NSTonghop!$E104&lt;&gt;0,0,NSTonghop!AA104)</f>
        <v>0</v>
      </c>
      <c r="AB104" s="162">
        <f>IF(NSTonghop!$E104&lt;&gt;0,0,NSTonghop!AB104)</f>
        <v>0</v>
      </c>
      <c r="AC104" s="162">
        <f>IF(NSTonghop!$E104&lt;&gt;0,0,NSTonghop!AC104)</f>
        <v>0</v>
      </c>
      <c r="AD104" s="162">
        <f>IF(NSTonghop!$E104&lt;&gt;0,0,NSTonghop!AD104)</f>
        <v>0</v>
      </c>
      <c r="AE104" s="162">
        <f>IF(NSTonghop!$E104&lt;&gt;0,0,NSTonghop!AE104)</f>
        <v>0</v>
      </c>
      <c r="AF104" s="162">
        <f>IF(NSTonghop!$E104&lt;&gt;0,0,NSTonghop!AF104)</f>
        <v>0</v>
      </c>
      <c r="AG104" s="162">
        <f>IF(NSTonghop!$E104&lt;&gt;0,0,NSTonghop!AG104)</f>
        <v>0</v>
      </c>
      <c r="AH104" s="162">
        <f>IF(NSTonghop!$E104&lt;&gt;0,0,NSTonghop!AH104)</f>
        <v>0</v>
      </c>
      <c r="AI104" s="162">
        <f>IF(NSTonghop!$E104&lt;&gt;0,0,NSTonghop!AI104)</f>
        <v>0</v>
      </c>
      <c r="AJ104" s="162">
        <f>IF(NSTonghop!$E104&lt;&gt;0,0,NSTonghop!AJ104)</f>
        <v>0</v>
      </c>
      <c r="AK104" s="162">
        <f>IF(NSTonghop!$E104&lt;&gt;0,0,NSTonghop!AK104)</f>
        <v>0</v>
      </c>
      <c r="AL104" s="162">
        <f>IF(NSTonghop!$E104&lt;&gt;0,0,NSTonghop!AL104)</f>
        <v>0</v>
      </c>
      <c r="AM104" s="162">
        <f>IF(NSTonghop!$E104&lt;&gt;0,0,NSTonghop!AM104)</f>
        <v>0</v>
      </c>
      <c r="AN104" s="162">
        <f>IF(NSTonghop!$E104&lt;&gt;0,0,NSTonghop!AN104)</f>
        <v>0</v>
      </c>
      <c r="AO104" s="162">
        <f>IF(NSTonghop!$E104&lt;&gt;0,0,NSTonghop!AO104)</f>
        <v>0</v>
      </c>
      <c r="AP104" s="162">
        <f>IF(NSTonghop!$E104&lt;&gt;0,0,NSTonghop!AP104)</f>
        <v>0</v>
      </c>
      <c r="AQ104" s="162" t="str">
        <f>IF(NSTonghop!$E104&lt;&gt;0,0,NSTonghop!AQ104)</f>
        <v/>
      </c>
      <c r="AR104" s="162">
        <f>IF(NSTonghop!$E104&lt;&gt;0,0,NSTonghop!AR104)</f>
        <v>0</v>
      </c>
      <c r="AS104" s="162">
        <f>IF(NSTonghop!$E104&lt;&gt;0,0,NSTonghop!AS104)</f>
        <v>0</v>
      </c>
      <c r="AT104" s="162">
        <f>IF(NSTonghop!$E104&lt;&gt;0,0,NSTonghop!AT104)</f>
        <v>0</v>
      </c>
      <c r="AU104" s="212"/>
    </row>
    <row r="105" spans="1:47" hidden="1" x14ac:dyDescent="0.25">
      <c r="A105" s="220"/>
      <c r="B105" s="162" t="str">
        <f>IF(F105&lt;&gt;0,MAX($B$8:B104)+1,"")</f>
        <v/>
      </c>
      <c r="C105" s="191"/>
      <c r="D105" s="164">
        <f>IF(NSTonghop!$E105&lt;&gt;0,0,NSTonghop!D105)</f>
        <v>0</v>
      </c>
      <c r="E105" s="162">
        <f>IF(NSTonghop!E105&lt;&gt;0,0,0)</f>
        <v>0</v>
      </c>
      <c r="F105" s="162">
        <f>IF(NSTonghop!$E105&lt;&gt;0,0,NSTonghop!F105)</f>
        <v>0</v>
      </c>
      <c r="G105" s="162">
        <f>IF(NSTonghop!$E105&lt;&gt;0,0,NSTonghop!G105)</f>
        <v>0</v>
      </c>
      <c r="H105" s="162">
        <f>IF(NSTonghop!$E105&lt;&gt;0,0,NSTonghop!H105)</f>
        <v>0</v>
      </c>
      <c r="I105" s="162">
        <f>IF(NSTonghop!$E105&lt;&gt;0,0,NSTonghop!I105)</f>
        <v>0</v>
      </c>
      <c r="J105" s="162">
        <f>IF(NSTonghop!$E105&lt;&gt;0,0,NSTonghop!J105)</f>
        <v>0</v>
      </c>
      <c r="K105" s="162">
        <f>IF(NSTonghop!$E105&lt;&gt;0,0,NSTonghop!K105)</f>
        <v>0</v>
      </c>
      <c r="L105" s="162">
        <f>IF(NSTonghop!$E105&lt;&gt;0,0,NSTonghop!L105)</f>
        <v>0</v>
      </c>
      <c r="M105" s="162">
        <f>IF(NSTonghop!$E105&lt;&gt;0,0,NSTonghop!M105)</f>
        <v>0</v>
      </c>
      <c r="N105" s="162">
        <f>IF(NSTonghop!$E105&lt;&gt;0,0,NSTonghop!N105)</f>
        <v>0</v>
      </c>
      <c r="O105" s="162">
        <f>IF(NSTonghop!$E105&lt;&gt;0,0,NSTonghop!O105)</f>
        <v>0</v>
      </c>
      <c r="P105" s="162">
        <f>IF(NSTonghop!$E105&lt;&gt;0,0,NSTonghop!P105)</f>
        <v>0</v>
      </c>
      <c r="Q105" s="162">
        <f>IF(NSTonghop!$E105&lt;&gt;0,0,NSTonghop!Q105)</f>
        <v>0</v>
      </c>
      <c r="R105" s="162">
        <f>IF(NSTonghop!$E105&lt;&gt;0,0,NSTonghop!R105)</f>
        <v>0</v>
      </c>
      <c r="S105" s="162">
        <f>IF(NSTonghop!$E105&lt;&gt;0,0,NSTonghop!S105)</f>
        <v>0</v>
      </c>
      <c r="T105" s="162">
        <f>IF(NSTonghop!$E105&lt;&gt;0,0,NSTonghop!T105)</f>
        <v>0</v>
      </c>
      <c r="U105" s="162">
        <f>IF(NSTonghop!$E105&lt;&gt;0,0,NSTonghop!U105)</f>
        <v>0</v>
      </c>
      <c r="V105" s="162">
        <f>IF(NSTonghop!$E105&lt;&gt;0,0,NSTonghop!V105)</f>
        <v>0</v>
      </c>
      <c r="W105" s="162" t="str">
        <f>IF(NSTonghop!$E105&lt;&gt;0,0,NSTonghop!W105)</f>
        <v/>
      </c>
      <c r="X105" s="162">
        <f>IF(NSTonghop!$E105&lt;&gt;0,0,NSTonghop!X105)</f>
        <v>0</v>
      </c>
      <c r="Y105" s="162">
        <f>IF(NSTonghop!$E105&lt;&gt;0,0,NSTonghop!Y105)</f>
        <v>0</v>
      </c>
      <c r="Z105" s="162">
        <f>IF(NSTonghop!$E105&lt;&gt;0,0,NSTonghop!Z105)</f>
        <v>0</v>
      </c>
      <c r="AA105" s="162">
        <f>IF(NSTonghop!$E105&lt;&gt;0,0,NSTonghop!AA105)</f>
        <v>0</v>
      </c>
      <c r="AB105" s="162">
        <f>IF(NSTonghop!$E105&lt;&gt;0,0,NSTonghop!AB105)</f>
        <v>0</v>
      </c>
      <c r="AC105" s="162">
        <f>IF(NSTonghop!$E105&lt;&gt;0,0,NSTonghop!AC105)</f>
        <v>0</v>
      </c>
      <c r="AD105" s="162">
        <f>IF(NSTonghop!$E105&lt;&gt;0,0,NSTonghop!AD105)</f>
        <v>0</v>
      </c>
      <c r="AE105" s="162">
        <f>IF(NSTonghop!$E105&lt;&gt;0,0,NSTonghop!AE105)</f>
        <v>0</v>
      </c>
      <c r="AF105" s="162">
        <f>IF(NSTonghop!$E105&lt;&gt;0,0,NSTonghop!AF105)</f>
        <v>0</v>
      </c>
      <c r="AG105" s="162">
        <f>IF(NSTonghop!$E105&lt;&gt;0,0,NSTonghop!AG105)</f>
        <v>0</v>
      </c>
      <c r="AH105" s="162">
        <f>IF(NSTonghop!$E105&lt;&gt;0,0,NSTonghop!AH105)</f>
        <v>0</v>
      </c>
      <c r="AI105" s="162">
        <f>IF(NSTonghop!$E105&lt;&gt;0,0,NSTonghop!AI105)</f>
        <v>0</v>
      </c>
      <c r="AJ105" s="162">
        <f>IF(NSTonghop!$E105&lt;&gt;0,0,NSTonghop!AJ105)</f>
        <v>0</v>
      </c>
      <c r="AK105" s="162">
        <f>IF(NSTonghop!$E105&lt;&gt;0,0,NSTonghop!AK105)</f>
        <v>0</v>
      </c>
      <c r="AL105" s="162">
        <f>IF(NSTonghop!$E105&lt;&gt;0,0,NSTonghop!AL105)</f>
        <v>0</v>
      </c>
      <c r="AM105" s="162">
        <f>IF(NSTonghop!$E105&lt;&gt;0,0,NSTonghop!AM105)</f>
        <v>0</v>
      </c>
      <c r="AN105" s="162">
        <f>IF(NSTonghop!$E105&lt;&gt;0,0,NSTonghop!AN105)</f>
        <v>0</v>
      </c>
      <c r="AO105" s="162">
        <f>IF(NSTonghop!$E105&lt;&gt;0,0,NSTonghop!AO105)</f>
        <v>0</v>
      </c>
      <c r="AP105" s="162">
        <f>IF(NSTonghop!$E105&lt;&gt;0,0,NSTonghop!AP105)</f>
        <v>0</v>
      </c>
      <c r="AQ105" s="162" t="str">
        <f>IF(NSTonghop!$E105&lt;&gt;0,0,NSTonghop!AQ105)</f>
        <v/>
      </c>
      <c r="AR105" s="162">
        <f>IF(NSTonghop!$E105&lt;&gt;0,0,NSTonghop!AR105)</f>
        <v>0</v>
      </c>
      <c r="AS105" s="162">
        <f>IF(NSTonghop!$E105&lt;&gt;0,0,NSTonghop!AS105)</f>
        <v>0</v>
      </c>
      <c r="AT105" s="162">
        <f>IF(NSTonghop!$E105&lt;&gt;0,0,NSTonghop!AT105)</f>
        <v>0</v>
      </c>
      <c r="AU105" s="212"/>
    </row>
    <row r="106" spans="1:47" x14ac:dyDescent="0.25">
      <c r="A106" s="220"/>
      <c r="B106" s="162" t="str">
        <f>IF(F106&lt;&gt;0,MAX($B$8:B105)+1,"")</f>
        <v/>
      </c>
      <c r="C106" s="191"/>
      <c r="D106" s="164">
        <f>IF(NSTonghop!$E106&lt;&gt;0,0,NSTonghop!D106)</f>
        <v>0</v>
      </c>
      <c r="E106" s="162">
        <f>IF(NSTonghop!E106&lt;&gt;0,0,0)</f>
        <v>0</v>
      </c>
      <c r="F106" s="162">
        <f>IF(NSTonghop!$E106&lt;&gt;0,0,NSTonghop!F106)</f>
        <v>0</v>
      </c>
      <c r="G106" s="162">
        <f>IF(NSTonghop!$E106&lt;&gt;0,0,NSTonghop!G106)</f>
        <v>0</v>
      </c>
      <c r="H106" s="162">
        <f>IF(NSTonghop!$E106&lt;&gt;0,0,NSTonghop!H106)</f>
        <v>0</v>
      </c>
      <c r="I106" s="162">
        <f>IF(NSTonghop!$E106&lt;&gt;0,0,NSTonghop!I106)</f>
        <v>0</v>
      </c>
      <c r="J106" s="162">
        <f>IF(NSTonghop!$E106&lt;&gt;0,0,NSTonghop!J106)</f>
        <v>0</v>
      </c>
      <c r="K106" s="162">
        <f>IF(NSTonghop!$E106&lt;&gt;0,0,NSTonghop!K106)</f>
        <v>0</v>
      </c>
      <c r="L106" s="162">
        <f>IF(NSTonghop!$E106&lt;&gt;0,0,NSTonghop!L106)</f>
        <v>0</v>
      </c>
      <c r="M106" s="162">
        <f>IF(NSTonghop!$E106&lt;&gt;0,0,NSTonghop!M106)</f>
        <v>0</v>
      </c>
      <c r="N106" s="162">
        <f>IF(NSTonghop!$E106&lt;&gt;0,0,NSTonghop!N106)</f>
        <v>0</v>
      </c>
      <c r="O106" s="162">
        <f>IF(NSTonghop!$E106&lt;&gt;0,0,NSTonghop!O106)</f>
        <v>0</v>
      </c>
      <c r="P106" s="162">
        <f>IF(NSTonghop!$E106&lt;&gt;0,0,NSTonghop!P106)</f>
        <v>0</v>
      </c>
      <c r="Q106" s="162">
        <f>IF(NSTonghop!$E106&lt;&gt;0,0,NSTonghop!Q106)</f>
        <v>0</v>
      </c>
      <c r="R106" s="162">
        <f>IF(NSTonghop!$E106&lt;&gt;0,0,NSTonghop!R106)</f>
        <v>0</v>
      </c>
      <c r="S106" s="162">
        <f>IF(NSTonghop!$E106&lt;&gt;0,0,NSTonghop!S106)</f>
        <v>0</v>
      </c>
      <c r="T106" s="162">
        <f>IF(NSTonghop!$E106&lt;&gt;0,0,NSTonghop!T106)</f>
        <v>0</v>
      </c>
      <c r="U106" s="162">
        <f>IF(NSTonghop!$E106&lt;&gt;0,0,NSTonghop!U106)</f>
        <v>0</v>
      </c>
      <c r="V106" s="162">
        <f>IF(NSTonghop!$E106&lt;&gt;0,0,NSTonghop!V106)</f>
        <v>0</v>
      </c>
      <c r="W106" s="162" t="str">
        <f>IF(NSTonghop!$E106&lt;&gt;0,0,NSTonghop!W106)</f>
        <v/>
      </c>
      <c r="X106" s="162">
        <f>IF(NSTonghop!$E106&lt;&gt;0,0,NSTonghop!X106)</f>
        <v>0</v>
      </c>
      <c r="Y106" s="162">
        <f>IF(NSTonghop!$E106&lt;&gt;0,0,NSTonghop!Y106)</f>
        <v>0</v>
      </c>
      <c r="Z106" s="162">
        <f>IF(NSTonghop!$E106&lt;&gt;0,0,NSTonghop!Z106)</f>
        <v>0</v>
      </c>
      <c r="AA106" s="162">
        <f>IF(NSTonghop!$E106&lt;&gt;0,0,NSTonghop!AA106)</f>
        <v>0</v>
      </c>
      <c r="AB106" s="162">
        <f>IF(NSTonghop!$E106&lt;&gt;0,0,NSTonghop!AB106)</f>
        <v>0</v>
      </c>
      <c r="AC106" s="162">
        <f>IF(NSTonghop!$E106&lt;&gt;0,0,NSTonghop!AC106)</f>
        <v>0</v>
      </c>
      <c r="AD106" s="162">
        <f>IF(NSTonghop!$E106&lt;&gt;0,0,NSTonghop!AD106)</f>
        <v>0</v>
      </c>
      <c r="AE106" s="162">
        <f>IF(NSTonghop!$E106&lt;&gt;0,0,NSTonghop!AE106)</f>
        <v>0</v>
      </c>
      <c r="AF106" s="162">
        <f>IF(NSTonghop!$E106&lt;&gt;0,0,NSTonghop!AF106)</f>
        <v>0</v>
      </c>
      <c r="AG106" s="162">
        <f>IF(NSTonghop!$E106&lt;&gt;0,0,NSTonghop!AG106)</f>
        <v>0</v>
      </c>
      <c r="AH106" s="162">
        <f>IF(NSTonghop!$E106&lt;&gt;0,0,NSTonghop!AH106)</f>
        <v>0</v>
      </c>
      <c r="AI106" s="162">
        <f>IF(NSTonghop!$E106&lt;&gt;0,0,NSTonghop!AI106)</f>
        <v>0</v>
      </c>
      <c r="AJ106" s="162">
        <f>IF(NSTonghop!$E106&lt;&gt;0,0,NSTonghop!AJ106)</f>
        <v>0</v>
      </c>
      <c r="AK106" s="162">
        <f>IF(NSTonghop!$E106&lt;&gt;0,0,NSTonghop!AK106)</f>
        <v>0</v>
      </c>
      <c r="AL106" s="162">
        <f>IF(NSTonghop!$E106&lt;&gt;0,0,NSTonghop!AL106)</f>
        <v>0</v>
      </c>
      <c r="AM106" s="162">
        <f>IF(NSTonghop!$E106&lt;&gt;0,0,NSTonghop!AM106)</f>
        <v>0</v>
      </c>
      <c r="AN106" s="162">
        <f>IF(NSTonghop!$E106&lt;&gt;0,0,NSTonghop!AN106)</f>
        <v>0</v>
      </c>
      <c r="AO106" s="162">
        <f>IF(NSTonghop!$E106&lt;&gt;0,0,NSTonghop!AO106)</f>
        <v>0</v>
      </c>
      <c r="AP106" s="162">
        <f>IF(NSTonghop!$E106&lt;&gt;0,0,NSTonghop!AP106)</f>
        <v>0</v>
      </c>
      <c r="AQ106" s="162" t="str">
        <f>IF(NSTonghop!$E106&lt;&gt;0,0,NSTonghop!AQ106)</f>
        <v/>
      </c>
      <c r="AR106" s="162">
        <f>IF(NSTonghop!$E106&lt;&gt;0,0,NSTonghop!AR106)</f>
        <v>0</v>
      </c>
      <c r="AS106" s="162">
        <f>IF(NSTonghop!$E106&lt;&gt;0,0,NSTonghop!AS106)</f>
        <v>0</v>
      </c>
      <c r="AT106" s="162">
        <f>IF(NSTonghop!$E106&lt;&gt;0,0,NSTonghop!AT106)</f>
        <v>0</v>
      </c>
      <c r="AU106" s="212"/>
    </row>
    <row r="107" spans="1:47" x14ac:dyDescent="0.25">
      <c r="A107" s="220"/>
      <c r="B107" s="256"/>
      <c r="C107" s="257"/>
      <c r="D107" s="258"/>
      <c r="E107" s="256"/>
      <c r="F107" s="256" t="s">
        <v>41</v>
      </c>
      <c r="G107" s="259">
        <f>COUNTIF(G8:G106,"x")</f>
        <v>43</v>
      </c>
      <c r="H107" s="260">
        <f>COUNTA(H8:H106)-COUNT(H8:H106)</f>
        <v>29</v>
      </c>
      <c r="I107" s="260">
        <f>COUNTA(I8:I106)-COUNT(I8:I106)</f>
        <v>43</v>
      </c>
      <c r="J107" s="260">
        <f>COUNT(J8:J106)-COUNTIF(J8:J106,"=0")</f>
        <v>29</v>
      </c>
      <c r="K107" s="260">
        <f>COUNT(K8:K106)-COUNTIF(K8:K106,"=0")</f>
        <v>43</v>
      </c>
      <c r="L107" s="256"/>
      <c r="M107" s="259"/>
      <c r="N107" s="261"/>
      <c r="O107" s="261"/>
      <c r="P107" s="256"/>
      <c r="Q107" s="256"/>
      <c r="R107" s="256"/>
      <c r="S107" s="256"/>
      <c r="T107" s="256"/>
      <c r="U107" s="256"/>
      <c r="V107" s="256"/>
      <c r="W107" s="256" t="str">
        <f>IF(AND(T107&lt;&gt;"",U107="",V107=""),LEFT(T107,4),IF(AND(T107&lt;&gt;"",U107&lt;&gt;"",V107=""),LEFT(U107,4),LEFT(V107,4)))</f>
        <v/>
      </c>
      <c r="X107" s="256"/>
      <c r="Y107" s="256"/>
      <c r="Z107" s="260">
        <f>COUNTA(Z8:Z106)-COUNTIF(Z8:Z106,"=0")</f>
        <v>9</v>
      </c>
      <c r="AA107" s="260">
        <f t="shared" ref="AA107:AF107" si="0">COUNTA(AA8:AA106)-COUNTIF(AA8:AA106,"=0")</f>
        <v>22</v>
      </c>
      <c r="AB107" s="260">
        <f t="shared" si="0"/>
        <v>62</v>
      </c>
      <c r="AC107" s="260">
        <f t="shared" si="0"/>
        <v>32</v>
      </c>
      <c r="AD107" s="260">
        <f t="shared" si="0"/>
        <v>8</v>
      </c>
      <c r="AE107" s="260">
        <f t="shared" si="0"/>
        <v>5</v>
      </c>
      <c r="AF107" s="260">
        <f t="shared" si="0"/>
        <v>5</v>
      </c>
      <c r="AG107" s="256"/>
      <c r="AH107" s="256"/>
      <c r="AI107" s="256"/>
      <c r="AJ107" s="256"/>
      <c r="AK107" s="258"/>
      <c r="AL107" s="258"/>
      <c r="AM107" s="258"/>
      <c r="AN107" s="258"/>
      <c r="AO107" s="260">
        <f>COUNTA(AO8:AO106)-COUNTIF(AO8:AO106,"=0")</f>
        <v>39</v>
      </c>
      <c r="AP107" s="260">
        <f>COUNTA(AP8:AP106)-COUNTIF(AP8:AP106,"=0")</f>
        <v>39</v>
      </c>
      <c r="AQ107" s="256"/>
      <c r="AR107" s="256"/>
      <c r="AS107" s="256"/>
      <c r="AT107" s="256"/>
      <c r="AU107" s="212"/>
    </row>
    <row r="108" spans="1:47" ht="7.5" customHeight="1" x14ac:dyDescent="0.25">
      <c r="A108" s="221"/>
      <c r="B108" s="222"/>
      <c r="C108" s="222"/>
      <c r="D108" s="222"/>
      <c r="E108" s="222"/>
      <c r="F108" s="222"/>
      <c r="G108" s="222"/>
      <c r="H108" s="222"/>
      <c r="I108" s="222"/>
      <c r="J108" s="222"/>
      <c r="K108" s="222"/>
      <c r="L108" s="222"/>
      <c r="M108" s="222"/>
      <c r="N108" s="222"/>
      <c r="O108" s="222"/>
      <c r="P108" s="222"/>
      <c r="Q108" s="222"/>
      <c r="R108" s="222"/>
      <c r="S108" s="222"/>
      <c r="T108" s="222"/>
      <c r="U108" s="222"/>
      <c r="V108" s="222"/>
      <c r="W108" s="222"/>
      <c r="X108" s="222"/>
      <c r="Y108" s="222"/>
      <c r="Z108" s="222"/>
      <c r="AA108" s="222"/>
      <c r="AB108" s="222"/>
      <c r="AC108" s="222"/>
      <c r="AD108" s="222"/>
      <c r="AE108" s="222"/>
      <c r="AF108" s="222"/>
      <c r="AG108" s="222"/>
      <c r="AH108" s="222"/>
      <c r="AI108" s="222"/>
      <c r="AJ108" s="222"/>
      <c r="AK108" s="222"/>
      <c r="AL108" s="222"/>
      <c r="AM108" s="222"/>
      <c r="AN108" s="222"/>
      <c r="AO108" s="222"/>
      <c r="AP108" s="222"/>
      <c r="AQ108" s="222"/>
      <c r="AR108" s="222"/>
      <c r="AS108" s="222"/>
      <c r="AT108" s="222"/>
      <c r="AU108" s="223"/>
    </row>
    <row r="109" spans="1:47" x14ac:dyDescent="0.25">
      <c r="B109" s="115" t="str">
        <f>IF(F109="","",MAX($B108:B108)+1)</f>
        <v/>
      </c>
    </row>
  </sheetData>
  <autoFilter ref="B7:AT107"/>
  <dataConsolidate/>
  <mergeCells count="44">
    <mergeCell ref="AD5:AD6"/>
    <mergeCell ref="AE5:AE6"/>
    <mergeCell ref="AR5:AR6"/>
    <mergeCell ref="AS5:AS6"/>
    <mergeCell ref="AJ5:AJ6"/>
    <mergeCell ref="AK5:AK6"/>
    <mergeCell ref="AL5:AL6"/>
    <mergeCell ref="AM5:AM6"/>
    <mergeCell ref="AN5:AN6"/>
    <mergeCell ref="AO5:AQ5"/>
    <mergeCell ref="AI4:AI6"/>
    <mergeCell ref="AJ4:AK4"/>
    <mergeCell ref="AL4:AS4"/>
    <mergeCell ref="AT4:AT6"/>
    <mergeCell ref="AG4:AG6"/>
    <mergeCell ref="AH4:AH6"/>
    <mergeCell ref="P4:P6"/>
    <mergeCell ref="Q4:Q6"/>
    <mergeCell ref="R4:R6"/>
    <mergeCell ref="S4:AF4"/>
    <mergeCell ref="X5:X6"/>
    <mergeCell ref="Y5:Y6"/>
    <mergeCell ref="Z5:Z6"/>
    <mergeCell ref="S5:S6"/>
    <mergeCell ref="T5:T6"/>
    <mergeCell ref="U5:U6"/>
    <mergeCell ref="V5:V6"/>
    <mergeCell ref="W5:W6"/>
    <mergeCell ref="AF5:AF6"/>
    <mergeCell ref="AA5:AA6"/>
    <mergeCell ref="AB5:AB6"/>
    <mergeCell ref="AC5:AC6"/>
    <mergeCell ref="O4:O6"/>
    <mergeCell ref="B4:B6"/>
    <mergeCell ref="C4:C6"/>
    <mergeCell ref="D4:D6"/>
    <mergeCell ref="E4:E6"/>
    <mergeCell ref="F4:F6"/>
    <mergeCell ref="G4:G6"/>
    <mergeCell ref="H4:I5"/>
    <mergeCell ref="J4:K5"/>
    <mergeCell ref="L4:L6"/>
    <mergeCell ref="M4:M6"/>
    <mergeCell ref="N4:N6"/>
  </mergeCells>
  <conditionalFormatting sqref="D92:D107 D49 D31 D11 D13 D33">
    <cfRule type="containsText" dxfId="17" priority="39" operator="containsText" text="x">
      <formula>NOT(ISERROR(SEARCH("x",D11)))</formula>
    </cfRule>
  </conditionalFormatting>
  <conditionalFormatting sqref="E8:AT107">
    <cfRule type="containsText" dxfId="16" priority="38" operator="containsText" text="x">
      <formula>NOT(ISERROR(SEARCH("x",E8)))</formula>
    </cfRule>
  </conditionalFormatting>
  <conditionalFormatting sqref="D63">
    <cfRule type="containsText" dxfId="15" priority="16" operator="containsText" text="x">
      <formula>NOT(ISERROR(SEARCH("x",D63)))</formula>
    </cfRule>
  </conditionalFormatting>
  <conditionalFormatting sqref="D65">
    <cfRule type="containsText" dxfId="14" priority="15" operator="containsText" text="x">
      <formula>NOT(ISERROR(SEARCH("x",D65)))</formula>
    </cfRule>
  </conditionalFormatting>
  <conditionalFormatting sqref="D66">
    <cfRule type="containsText" dxfId="13" priority="14" operator="containsText" text="x">
      <formula>NOT(ISERROR(SEARCH("x",D66)))</formula>
    </cfRule>
  </conditionalFormatting>
  <conditionalFormatting sqref="D83">
    <cfRule type="containsText" dxfId="12" priority="10" operator="containsText" text="x">
      <formula>NOT(ISERROR(SEARCH("x",D83)))</formula>
    </cfRule>
  </conditionalFormatting>
  <conditionalFormatting sqref="D82">
    <cfRule type="containsText" dxfId="11" priority="9" operator="containsText" text="x">
      <formula>NOT(ISERROR(SEARCH("x",D82)))</formula>
    </cfRule>
  </conditionalFormatting>
  <conditionalFormatting sqref="D60">
    <cfRule type="containsText" dxfId="10" priority="6" operator="containsText" text="x">
      <formula>NOT(ISERROR(SEARCH("x",D60)))</formula>
    </cfRule>
  </conditionalFormatting>
  <conditionalFormatting sqref="D8:D10 D12 D14:D30 D32 D34:D48 D50:D59 D61:D62 D64 D67:D81 D84:D91">
    <cfRule type="containsText" dxfId="9" priority="1" operator="containsText" text="x">
      <formula>NOT(ISERROR(SEARCH("x",D8)))</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N109"/>
  <sheetViews>
    <sheetView showZeros="0" zoomScaleNormal="100" workbookViewId="0">
      <pane xSplit="5" ySplit="7" topLeftCell="V18" activePane="bottomRight" state="frozen"/>
      <selection activeCell="AG1" sqref="AG1:AG1048576"/>
      <selection pane="topRight" activeCell="AG1" sqref="AG1:AG1048576"/>
      <selection pane="bottomLeft" activeCell="AG1" sqref="AG1:AG1048576"/>
      <selection pane="bottomRight" activeCell="E8" sqref="E8"/>
    </sheetView>
  </sheetViews>
  <sheetFormatPr defaultColWidth="8.7109375" defaultRowHeight="15" x14ac:dyDescent="0.25"/>
  <cols>
    <col min="1" max="1" width="1.7109375" style="115" customWidth="1"/>
    <col min="2" max="3" width="2.28515625" style="115" customWidth="1"/>
    <col min="4" max="4" width="12.85546875" style="115" customWidth="1"/>
    <col min="5" max="5" width="16.140625" style="115" customWidth="1"/>
    <col min="6" max="6" width="4.5703125" style="115" customWidth="1"/>
    <col min="7" max="8" width="7.5703125" style="115" customWidth="1"/>
    <col min="9" max="10" width="4.140625" style="115" hidden="1" customWidth="1"/>
    <col min="11" max="11" width="5.7109375" style="115" customWidth="1"/>
    <col min="12" max="12" width="7.5703125" style="115" customWidth="1"/>
    <col min="13" max="13" width="6.140625" style="115" customWidth="1"/>
    <col min="14" max="14" width="6.5703125" style="115" customWidth="1"/>
    <col min="15" max="17" width="11.5703125" style="115" customWidth="1"/>
    <col min="18" max="18" width="8.7109375" style="115" customWidth="1"/>
    <col min="19" max="20" width="13.85546875" style="115" customWidth="1"/>
    <col min="21" max="21" width="11.85546875" style="115" customWidth="1"/>
    <col min="22" max="22" width="4.7109375" style="115" customWidth="1"/>
    <col min="23" max="23" width="7.5703125" style="115" customWidth="1"/>
    <col min="24" max="24" width="6.28515625" style="115" customWidth="1"/>
    <col min="25" max="25" width="7" style="115" customWidth="1"/>
    <col min="26" max="26" width="10.42578125" style="115" customWidth="1"/>
    <col min="27" max="27" width="7.140625" style="115" customWidth="1"/>
    <col min="28" max="28" width="10.85546875" style="115" customWidth="1"/>
    <col min="29" max="29" width="9.140625" style="115" customWidth="1"/>
    <col min="30" max="30" width="8.42578125" style="115" customWidth="1"/>
    <col min="31" max="31" width="8" style="115" customWidth="1"/>
    <col min="32" max="32" width="7.7109375" style="116" customWidth="1"/>
    <col min="33" max="35" width="7.28515625" style="116" customWidth="1"/>
    <col min="36" max="36" width="4.140625" style="116" customWidth="1"/>
    <col min="37" max="37" width="8.7109375" style="115"/>
    <col min="38" max="38" width="2.28515625" style="115" customWidth="1"/>
    <col min="39" max="16384" width="8.7109375" style="115"/>
  </cols>
  <sheetData>
    <row r="1" spans="1:40" ht="20.25" x14ac:dyDescent="0.3">
      <c r="F1" s="662">
        <f ca="1">NOW()</f>
        <v>43990.388564120367</v>
      </c>
      <c r="H1" s="664" t="str">
        <f ca="1">"tháng "&amp;MONTH(F1)</f>
        <v>tháng 6</v>
      </c>
      <c r="I1" s="664" t="str">
        <f ca="1">"năm "&amp;YEAR(F1)</f>
        <v>năm 2020</v>
      </c>
    </row>
    <row r="3" spans="1:40" ht="13.5" customHeight="1" x14ac:dyDescent="0.25">
      <c r="A3" s="218"/>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3"/>
    </row>
    <row r="4" spans="1:40" ht="11.25" customHeight="1" x14ac:dyDescent="0.25">
      <c r="A4" s="220"/>
      <c r="B4" s="714" t="s">
        <v>0</v>
      </c>
      <c r="C4" s="725"/>
      <c r="D4" s="719" t="s">
        <v>580</v>
      </c>
      <c r="E4" s="716" t="s">
        <v>2</v>
      </c>
      <c r="F4" s="722" t="s">
        <v>3</v>
      </c>
      <c r="G4" s="715" t="s">
        <v>42</v>
      </c>
      <c r="H4" s="715"/>
      <c r="I4" s="728" t="s">
        <v>5</v>
      </c>
      <c r="J4" s="729"/>
      <c r="K4" s="715" t="s">
        <v>4</v>
      </c>
      <c r="L4" s="732" t="s">
        <v>574</v>
      </c>
      <c r="M4" s="718" t="s">
        <v>6</v>
      </c>
      <c r="N4" s="718" t="s">
        <v>7</v>
      </c>
      <c r="O4" s="718" t="s">
        <v>8</v>
      </c>
      <c r="P4" s="718" t="s">
        <v>9</v>
      </c>
      <c r="Q4" s="718" t="s">
        <v>10</v>
      </c>
      <c r="R4" s="707" t="s">
        <v>54</v>
      </c>
      <c r="S4" s="708"/>
      <c r="T4" s="708"/>
      <c r="U4" s="708"/>
      <c r="V4" s="708"/>
      <c r="W4" s="708"/>
      <c r="X4" s="708"/>
      <c r="Y4" s="708"/>
      <c r="Z4" s="708"/>
      <c r="AA4" s="708"/>
      <c r="AB4" s="708"/>
      <c r="AC4" s="709"/>
      <c r="AD4" s="745" t="s">
        <v>130</v>
      </c>
      <c r="AE4" s="714" t="s">
        <v>17</v>
      </c>
      <c r="AF4" s="714"/>
      <c r="AG4" s="707" t="s">
        <v>11</v>
      </c>
      <c r="AH4" s="708"/>
      <c r="AI4" s="708"/>
      <c r="AJ4" s="708"/>
      <c r="AK4" s="718" t="s">
        <v>19</v>
      </c>
      <c r="AL4" s="211"/>
    </row>
    <row r="5" spans="1:40" ht="18" customHeight="1" x14ac:dyDescent="0.25">
      <c r="A5" s="220"/>
      <c r="B5" s="714"/>
      <c r="C5" s="726"/>
      <c r="D5" s="720"/>
      <c r="E5" s="717"/>
      <c r="F5" s="723"/>
      <c r="G5" s="715"/>
      <c r="H5" s="715"/>
      <c r="I5" s="730"/>
      <c r="J5" s="731"/>
      <c r="K5" s="715"/>
      <c r="L5" s="732"/>
      <c r="M5" s="718"/>
      <c r="N5" s="718"/>
      <c r="O5" s="718"/>
      <c r="P5" s="718"/>
      <c r="Q5" s="718"/>
      <c r="R5" s="717" t="s">
        <v>12</v>
      </c>
      <c r="S5" s="710" t="s">
        <v>55</v>
      </c>
      <c r="T5" s="743" t="s">
        <v>56</v>
      </c>
      <c r="U5" s="743" t="s">
        <v>153</v>
      </c>
      <c r="V5" s="740" t="s">
        <v>54</v>
      </c>
      <c r="W5" s="710" t="s">
        <v>14</v>
      </c>
      <c r="X5" s="712" t="s">
        <v>13</v>
      </c>
      <c r="Y5" s="710" t="s">
        <v>18</v>
      </c>
      <c r="Z5" s="710" t="s">
        <v>162</v>
      </c>
      <c r="AA5" s="710" t="s">
        <v>161</v>
      </c>
      <c r="AB5" s="710" t="s">
        <v>164</v>
      </c>
      <c r="AC5" s="745" t="s">
        <v>165</v>
      </c>
      <c r="AD5" s="710"/>
      <c r="AE5" s="714" t="s">
        <v>26</v>
      </c>
      <c r="AF5" s="742" t="s">
        <v>27</v>
      </c>
      <c r="AG5" s="736" t="s">
        <v>20</v>
      </c>
      <c r="AH5" s="733" t="s">
        <v>23</v>
      </c>
      <c r="AI5" s="734"/>
      <c r="AJ5" s="735"/>
      <c r="AK5" s="718"/>
      <c r="AL5" s="212" t="s">
        <v>573</v>
      </c>
    </row>
    <row r="6" spans="1:40" ht="35.25" customHeight="1" x14ac:dyDescent="0.25">
      <c r="A6" s="220"/>
      <c r="B6" s="714"/>
      <c r="C6" s="727"/>
      <c r="D6" s="721"/>
      <c r="E6" s="717"/>
      <c r="F6" s="724"/>
      <c r="G6" s="232" t="s">
        <v>53</v>
      </c>
      <c r="H6" s="232" t="s">
        <v>935</v>
      </c>
      <c r="I6" s="235" t="s">
        <v>939</v>
      </c>
      <c r="J6" s="233" t="s">
        <v>935</v>
      </c>
      <c r="K6" s="716"/>
      <c r="L6" s="732"/>
      <c r="M6" s="718"/>
      <c r="N6" s="718"/>
      <c r="O6" s="718"/>
      <c r="P6" s="718"/>
      <c r="Q6" s="718"/>
      <c r="R6" s="741"/>
      <c r="S6" s="711"/>
      <c r="T6" s="744"/>
      <c r="U6" s="744"/>
      <c r="V6" s="713"/>
      <c r="W6" s="711"/>
      <c r="X6" s="713"/>
      <c r="Y6" s="711"/>
      <c r="Z6" s="711"/>
      <c r="AA6" s="711"/>
      <c r="AB6" s="711"/>
      <c r="AC6" s="711"/>
      <c r="AD6" s="711"/>
      <c r="AE6" s="714"/>
      <c r="AF6" s="742"/>
      <c r="AG6" s="736"/>
      <c r="AH6" s="234" t="s">
        <v>11</v>
      </c>
      <c r="AI6" s="231" t="s">
        <v>28</v>
      </c>
      <c r="AJ6" s="231"/>
      <c r="AK6" s="718"/>
      <c r="AL6" s="212"/>
    </row>
    <row r="7" spans="1:40" ht="10.5" customHeight="1" x14ac:dyDescent="0.25">
      <c r="A7" s="220"/>
      <c r="B7" s="214" t="s">
        <v>531</v>
      </c>
      <c r="C7" s="214" t="s">
        <v>532</v>
      </c>
      <c r="D7" s="215" t="s">
        <v>632</v>
      </c>
      <c r="E7" s="216" t="s">
        <v>631</v>
      </c>
      <c r="F7" s="216" t="s">
        <v>595</v>
      </c>
      <c r="G7" s="216" t="s">
        <v>596</v>
      </c>
      <c r="H7" s="216"/>
      <c r="I7" s="216" t="s">
        <v>597</v>
      </c>
      <c r="J7" s="216"/>
      <c r="K7" s="216" t="s">
        <v>598</v>
      </c>
      <c r="L7" s="216" t="s">
        <v>599</v>
      </c>
      <c r="M7" s="216" t="s">
        <v>630</v>
      </c>
      <c r="N7" s="215" t="s">
        <v>600</v>
      </c>
      <c r="O7" s="215" t="s">
        <v>601</v>
      </c>
      <c r="P7" s="215" t="s">
        <v>602</v>
      </c>
      <c r="Q7" s="215" t="s">
        <v>603</v>
      </c>
      <c r="R7" s="215" t="s">
        <v>604</v>
      </c>
      <c r="S7" s="215" t="s">
        <v>605</v>
      </c>
      <c r="T7" s="215" t="s">
        <v>606</v>
      </c>
      <c r="U7" s="215" t="s">
        <v>607</v>
      </c>
      <c r="V7" s="215" t="s">
        <v>608</v>
      </c>
      <c r="W7" s="215" t="s">
        <v>609</v>
      </c>
      <c r="X7" s="215" t="s">
        <v>610</v>
      </c>
      <c r="Y7" s="215" t="s">
        <v>471</v>
      </c>
      <c r="Z7" s="215" t="s">
        <v>611</v>
      </c>
      <c r="AA7" s="215" t="s">
        <v>612</v>
      </c>
      <c r="AB7" s="215" t="s">
        <v>613</v>
      </c>
      <c r="AC7" s="215" t="s">
        <v>614</v>
      </c>
      <c r="AD7" s="215" t="s">
        <v>615</v>
      </c>
      <c r="AE7" s="215" t="s">
        <v>616</v>
      </c>
      <c r="AF7" s="215" t="s">
        <v>617</v>
      </c>
      <c r="AG7" s="215" t="s">
        <v>618</v>
      </c>
      <c r="AH7" s="215" t="s">
        <v>619</v>
      </c>
      <c r="AI7" s="215" t="s">
        <v>620</v>
      </c>
      <c r="AJ7" s="215" t="s">
        <v>621</v>
      </c>
      <c r="AK7" s="215" t="s">
        <v>622</v>
      </c>
      <c r="AL7" s="212"/>
    </row>
    <row r="8" spans="1:40" s="118" customFormat="1" x14ac:dyDescent="0.25">
      <c r="A8" s="220"/>
      <c r="B8" s="119">
        <f>IF(E8=0,0,1)</f>
        <v>1</v>
      </c>
      <c r="C8" s="120">
        <f>IF(E8=0,0,1)</f>
        <v>1</v>
      </c>
      <c r="D8" s="122">
        <f>IF(NSTonghop!AO8="",0,NSTonghop!E8)</f>
        <v>0</v>
      </c>
      <c r="E8" s="122" t="str">
        <f>IF(NSTonghop!AO8="",0,NSTonghop!F8)</f>
        <v>Lê Thị Nhung</v>
      </c>
      <c r="F8" s="123" t="str">
        <f>IF($E8=0,0,NSTonghop!G8)</f>
        <v>x</v>
      </c>
      <c r="G8" s="123">
        <f>IF($E8=0,0,NSTonghop!H8)</f>
        <v>0</v>
      </c>
      <c r="H8" s="123" t="str">
        <f>IF($E8=0,0,NSTonghop!I8)</f>
        <v>25/12/1983</v>
      </c>
      <c r="I8" s="125">
        <f>IF(G8=0,0,YEAR(G8))</f>
        <v>0</v>
      </c>
      <c r="J8" s="125">
        <f>IF(H8=0,0,YEAR(H8))</f>
        <v>1983</v>
      </c>
      <c r="K8" s="123" t="str">
        <f>IF($E8=0,0,NSTonghop!L8)</f>
        <v>NV</v>
      </c>
      <c r="L8" s="123">
        <f>IF($E8=0,0,NSTonghop!M8)</f>
        <v>0</v>
      </c>
      <c r="M8" s="123" t="str">
        <f>IF($E8=0,0,NSTonghop!N8)</f>
        <v>Phật</v>
      </c>
      <c r="N8" s="123" t="str">
        <f>IF($E8=0,0,NSTonghop!O8)</f>
        <v>Bần nông</v>
      </c>
      <c r="O8" s="123" t="str">
        <f>IF($E8=0,0,NSTonghop!P8)</f>
        <v>Ngọc Hiển-Cà Mau</v>
      </c>
      <c r="P8" s="123" t="str">
        <f>IF($E8=0,0,NSTonghop!Q8)</f>
        <v>Tiên Phong-Duy Tiên-Hà Nam</v>
      </c>
      <c r="Q8" s="123" t="str">
        <f>IF($E8=0,0,NSTonghop!R8)</f>
        <v>282/0 Vĩnh Phú-VTT</v>
      </c>
      <c r="R8" s="123" t="str">
        <f>IF($E8=0,0,NSTonghop!S8)</f>
        <v>PTTH/03/TB</v>
      </c>
      <c r="S8" s="123" t="str">
        <f>IF($E8=0,0,NSTonghop!T8)</f>
        <v>TrC/KTNS/05/Giỏi</v>
      </c>
      <c r="T8" s="123" t="str">
        <f>IF($E8=0,0,NSTonghop!U8)</f>
        <v>ĐHTX/QTKD/12/TBK</v>
      </c>
      <c r="U8" s="123">
        <f>IF($E8=0,0,NSTonghop!V8)</f>
        <v>0</v>
      </c>
      <c r="V8" s="123" t="str">
        <f>IF($E8=0,0,NSTonghop!W8)</f>
        <v>ĐHTX</v>
      </c>
      <c r="W8" s="241">
        <f>IF($E8=0,0,NSTonghop!Z8)</f>
        <v>0</v>
      </c>
      <c r="X8" s="241">
        <f>IF($E8=0,0,NSTonghop!AA8)</f>
        <v>0</v>
      </c>
      <c r="Y8" s="241" t="str">
        <f>IF($E8=0,0,NSTonghop!AB8)</f>
        <v>A/04/Giỏi</v>
      </c>
      <c r="Z8" s="241" t="str">
        <f>IF($E8=0,0,NSTonghop!AC8)</f>
        <v>B/Anh/11/TB</v>
      </c>
      <c r="AA8" s="241">
        <f>IF($E8=0,0,NSTonghop!AD8)</f>
        <v>0</v>
      </c>
      <c r="AB8" s="241">
        <f>IF($E8=0,0,NSTonghop!AE8)</f>
        <v>0</v>
      </c>
      <c r="AC8" s="241">
        <f>IF($E8=0,0,NSTonghop!AF8)</f>
        <v>0</v>
      </c>
      <c r="AD8" s="241" t="str">
        <f>IF($E8=0,0,NSTonghop!AH8)</f>
        <v>CN/18/Giỏi</v>
      </c>
      <c r="AE8" s="241">
        <f>IF($E8=0,0,NSTonghop!AJ8)</f>
        <v>351760595</v>
      </c>
      <c r="AF8" s="241" t="str">
        <f>IF($E8=0,0,NSTonghop!AK8)</f>
        <v>24/03/2003</v>
      </c>
      <c r="AG8" s="241" t="str">
        <f>IF($E8=0,0,NSTonghop!AL8)</f>
        <v>01/10/2005</v>
      </c>
      <c r="AH8" s="241" t="str">
        <f>IF($E8=0,0,NSTonghop!AO8)</f>
        <v>01/07/2008</v>
      </c>
      <c r="AI8" s="241" t="str">
        <f>IF($E8=0,0,NSTonghop!AP8)</f>
        <v>Chưa thẻ</v>
      </c>
      <c r="AJ8" s="241">
        <f>IF($E8=0,0,NSTonghop!AQ8)</f>
        <v>2008</v>
      </c>
      <c r="AK8" s="241" t="str">
        <f>IF($E8=0,0,NSTonghop!AT8)</f>
        <v>0949010871</v>
      </c>
      <c r="AL8" s="212"/>
      <c r="AM8" s="117"/>
      <c r="AN8" s="117"/>
    </row>
    <row r="9" spans="1:40" s="118" customFormat="1" x14ac:dyDescent="0.25">
      <c r="A9" s="220"/>
      <c r="B9" s="128">
        <f>IF(E9=0,0,MAX($B$8:B8)+1)</f>
        <v>2</v>
      </c>
      <c r="C9" s="132">
        <f>IF(E9=0,0,MAX($C$8:C8)+1)</f>
        <v>2</v>
      </c>
      <c r="D9" s="128">
        <f>IF(NSTonghop!AO9="",0,NSTonghop!E9)</f>
        <v>0</v>
      </c>
      <c r="E9" s="128" t="str">
        <f>IF(NSTonghop!AO9="",0,NSTonghop!F9)</f>
        <v>Lê Thị Bích Thy</v>
      </c>
      <c r="F9" s="123" t="str">
        <f>IF($E9=0,0,NSTonghop!G9)</f>
        <v>x</v>
      </c>
      <c r="G9" s="123">
        <f>IF($E9=0,0,NSTonghop!H9)</f>
        <v>0</v>
      </c>
      <c r="H9" s="123" t="str">
        <f>IF($E9=0,0,NSTonghop!I9)</f>
        <v>04/07/1967</v>
      </c>
      <c r="I9" s="125">
        <f t="shared" ref="I9:I72" si="0">IF(G9=0,0,YEAR(G9))</f>
        <v>0</v>
      </c>
      <c r="J9" s="125">
        <f t="shared" ref="J9:J72" si="1">IF(H9=0,0,YEAR(H9))</f>
        <v>1967</v>
      </c>
      <c r="K9" s="123" t="str">
        <f>IF($E9=0,0,NSTonghop!L9)</f>
        <v>NV</v>
      </c>
      <c r="L9" s="123">
        <f>IF($E9=0,0,NSTonghop!M9)</f>
        <v>0</v>
      </c>
      <c r="M9" s="123" t="str">
        <f>IF($E9=0,0,NSTonghop!N9)</f>
        <v>Phật</v>
      </c>
      <c r="N9" s="123" t="str">
        <f>IF($E9=0,0,NSTonghop!O9)</f>
        <v>Nông dân</v>
      </c>
      <c r="O9" s="123" t="str">
        <f>IF($E9=0,0,NSTonghop!P9)</f>
        <v>Vĩnh Tế-An Giang</v>
      </c>
      <c r="P9" s="123" t="str">
        <f>IF($E9=0,0,NSTonghop!Q9)</f>
        <v>Cái Dầu-Châu Phú-AG</v>
      </c>
      <c r="Q9" s="123" t="str">
        <f>IF($E9=0,0,NSTonghop!R9)</f>
        <v>3,Vĩnh Phúc, Cái Dầu</v>
      </c>
      <c r="R9" s="123" t="str">
        <f>IF($E9=0,0,NSTonghop!S9)</f>
        <v>PTTH/86/TB</v>
      </c>
      <c r="S9" s="123" t="str">
        <f>IF($E9=0,0,NSTonghop!T9)</f>
        <v>TrC KTNN/01/TB</v>
      </c>
      <c r="T9" s="123" t="str">
        <f>IF($E9=0,0,NSTonghop!U9)</f>
        <v>TCTC/KTDN/08/Khá</v>
      </c>
      <c r="U9" s="123">
        <f>IF($E9=0,0,NSTonghop!V9)</f>
        <v>0</v>
      </c>
      <c r="V9" s="123" t="str">
        <f>IF($E9=0,0,NSTonghop!W9)</f>
        <v>TCTC</v>
      </c>
      <c r="W9" s="241">
        <f>IF($E9=0,0,NSTonghop!Z9)</f>
        <v>0</v>
      </c>
      <c r="X9" s="241">
        <f>IF($E9=0,0,NSTonghop!AA9)</f>
        <v>0</v>
      </c>
      <c r="Y9" s="241" t="str">
        <f>IF($E9=0,0,NSTonghop!AB9)</f>
        <v>A/06/Giỏi</v>
      </c>
      <c r="Z9" s="241">
        <f>IF($E9=0,0,NSTonghop!AC9)</f>
        <v>0</v>
      </c>
      <c r="AA9" s="241">
        <f>IF($E9=0,0,NSTonghop!AD9)</f>
        <v>0</v>
      </c>
      <c r="AB9" s="241">
        <f>IF($E9=0,0,NSTonghop!AE9)</f>
        <v>0</v>
      </c>
      <c r="AC9" s="241">
        <f>IF($E9=0,0,NSTonghop!AF9)</f>
        <v>0</v>
      </c>
      <c r="AD9" s="241" t="str">
        <f>IF($E9=0,0,NSTonghop!AH9)</f>
        <v>CN/15/Khá</v>
      </c>
      <c r="AE9" s="241">
        <f>IF($E9=0,0,NSTonghop!AJ9)</f>
        <v>350774540</v>
      </c>
      <c r="AF9" s="241" t="str">
        <f>IF($E9=0,0,NSTonghop!AK9)</f>
        <v>10/04/2015</v>
      </c>
      <c r="AG9" s="241" t="str">
        <f>IF($E9=0,0,NSTonghop!AL9)</f>
        <v>16/11/1990</v>
      </c>
      <c r="AH9" s="241" t="str">
        <f>IF($E9=0,0,NSTonghop!AO9)</f>
        <v>05/10/2005</v>
      </c>
      <c r="AI9" s="241" t="str">
        <f>IF($E9=0,0,NSTonghop!AP9)</f>
        <v>31.031 055</v>
      </c>
      <c r="AJ9" s="241">
        <f>IF($E9=0,0,NSTonghop!AQ9)</f>
        <v>2005</v>
      </c>
      <c r="AK9" s="241" t="str">
        <f>IF($E9=0,0,NSTonghop!AT9)</f>
        <v>0939208137</v>
      </c>
      <c r="AL9" s="212"/>
    </row>
    <row r="10" spans="1:40" s="118" customFormat="1" hidden="1" x14ac:dyDescent="0.25">
      <c r="A10" s="220"/>
      <c r="B10" s="128">
        <f>IF(E10=0,0,MAX($B$8:B9)+1)</f>
        <v>0</v>
      </c>
      <c r="C10" s="132">
        <f>IF(E10=0,0,MAX($C$8:C9)+1)</f>
        <v>0</v>
      </c>
      <c r="D10" s="128">
        <f>IF(NSTonghop!AO10="",0,NSTonghop!E10)</f>
        <v>0</v>
      </c>
      <c r="E10" s="128">
        <f>IF(NSTonghop!AO10="",0,NSTonghop!F10)</f>
        <v>0</v>
      </c>
      <c r="F10" s="123">
        <f>IF($E10=0,0,NSTonghop!G10)</f>
        <v>0</v>
      </c>
      <c r="G10" s="123">
        <f>IF($E10=0,0,NSTonghop!H10)</f>
        <v>0</v>
      </c>
      <c r="H10" s="123">
        <f>IF($E10=0,0,NSTonghop!I10)</f>
        <v>0</v>
      </c>
      <c r="I10" s="125">
        <f t="shared" si="0"/>
        <v>0</v>
      </c>
      <c r="J10" s="125">
        <f t="shared" si="1"/>
        <v>0</v>
      </c>
      <c r="K10" s="123">
        <f>IF($E10=0,0,NSTonghop!L10)</f>
        <v>0</v>
      </c>
      <c r="L10" s="123">
        <f>IF($E10=0,0,NSTonghop!M10)</f>
        <v>0</v>
      </c>
      <c r="M10" s="123">
        <f>IF($E10=0,0,NSTonghop!N10)</f>
        <v>0</v>
      </c>
      <c r="N10" s="123">
        <f>IF($E10=0,0,NSTonghop!O10)</f>
        <v>0</v>
      </c>
      <c r="O10" s="123">
        <f>IF($E10=0,0,NSTonghop!P10)</f>
        <v>0</v>
      </c>
      <c r="P10" s="123">
        <f>IF($E10=0,0,NSTonghop!Q10)</f>
        <v>0</v>
      </c>
      <c r="Q10" s="123">
        <f>IF($E10=0,0,NSTonghop!R10)</f>
        <v>0</v>
      </c>
      <c r="R10" s="123">
        <f>IF($E10=0,0,NSTonghop!S10)</f>
        <v>0</v>
      </c>
      <c r="S10" s="123">
        <f>IF($E10=0,0,NSTonghop!T10)</f>
        <v>0</v>
      </c>
      <c r="T10" s="123">
        <f>IF($E10=0,0,NSTonghop!U10)</f>
        <v>0</v>
      </c>
      <c r="U10" s="123">
        <f>IF($E10=0,0,NSTonghop!V10)</f>
        <v>0</v>
      </c>
      <c r="V10" s="123">
        <f>IF($E10=0,0,NSTonghop!W10)</f>
        <v>0</v>
      </c>
      <c r="W10" s="241">
        <f>IF($E10=0,0,NSTonghop!Z10)</f>
        <v>0</v>
      </c>
      <c r="X10" s="241">
        <f>IF($E10=0,0,NSTonghop!AA10)</f>
        <v>0</v>
      </c>
      <c r="Y10" s="241">
        <f>IF($E10=0,0,NSTonghop!AB10)</f>
        <v>0</v>
      </c>
      <c r="Z10" s="241">
        <f>IF($E10=0,0,NSTonghop!AC10)</f>
        <v>0</v>
      </c>
      <c r="AA10" s="241">
        <f>IF($E10=0,0,NSTonghop!AD10)</f>
        <v>0</v>
      </c>
      <c r="AB10" s="241">
        <f>IF($E10=0,0,NSTonghop!AE10)</f>
        <v>0</v>
      </c>
      <c r="AC10" s="241">
        <f>IF($E10=0,0,NSTonghop!AF10)</f>
        <v>0</v>
      </c>
      <c r="AD10" s="241">
        <f>IF($E10=0,0,NSTonghop!AH10)</f>
        <v>0</v>
      </c>
      <c r="AE10" s="241">
        <f>IF($E10=0,0,NSTonghop!AJ10)</f>
        <v>0</v>
      </c>
      <c r="AF10" s="241">
        <f>IF($E10=0,0,NSTonghop!AK10)</f>
        <v>0</v>
      </c>
      <c r="AG10" s="241">
        <f>IF($E10=0,0,NSTonghop!AL10)</f>
        <v>0</v>
      </c>
      <c r="AH10" s="241">
        <f>IF($E10=0,0,NSTonghop!AO10)</f>
        <v>0</v>
      </c>
      <c r="AI10" s="241">
        <f>IF($E10=0,0,NSTonghop!AP10)</f>
        <v>0</v>
      </c>
      <c r="AJ10" s="241">
        <f>IF($E10=0,0,NSTonghop!AQ10)</f>
        <v>0</v>
      </c>
      <c r="AK10" s="241">
        <f>IF($E10=0,0,NSTonghop!AT10)</f>
        <v>0</v>
      </c>
      <c r="AL10" s="212"/>
    </row>
    <row r="11" spans="1:40" s="118" customFormat="1" hidden="1" x14ac:dyDescent="0.25">
      <c r="A11" s="220"/>
      <c r="B11" s="128">
        <f>IF(E11=0,0,MAX($B$8:B10)+1)</f>
        <v>0</v>
      </c>
      <c r="C11" s="132">
        <f>IF(E11=0,0,MAX($C$8:C10)+1)</f>
        <v>0</v>
      </c>
      <c r="D11" s="128">
        <f>IF(NSTonghop!AO11="",0,NSTonghop!E11)</f>
        <v>0</v>
      </c>
      <c r="E11" s="128">
        <f>IF(NSTonghop!AO11="",0,NSTonghop!F11)</f>
        <v>0</v>
      </c>
      <c r="F11" s="123">
        <f>IF($E11=0,0,NSTonghop!G11)</f>
        <v>0</v>
      </c>
      <c r="G11" s="123">
        <f>IF($E11=0,0,NSTonghop!H11)</f>
        <v>0</v>
      </c>
      <c r="H11" s="123">
        <f>IF($E11=0,0,NSTonghop!I11)</f>
        <v>0</v>
      </c>
      <c r="I11" s="125">
        <f t="shared" si="0"/>
        <v>0</v>
      </c>
      <c r="J11" s="125">
        <f t="shared" si="1"/>
        <v>0</v>
      </c>
      <c r="K11" s="123">
        <f>IF($E11=0,0,NSTonghop!L11)</f>
        <v>0</v>
      </c>
      <c r="L11" s="123">
        <f>IF($E11=0,0,NSTonghop!M11)</f>
        <v>0</v>
      </c>
      <c r="M11" s="123">
        <f>IF($E11=0,0,NSTonghop!N11)</f>
        <v>0</v>
      </c>
      <c r="N11" s="123">
        <f>IF($E11=0,0,NSTonghop!O11)</f>
        <v>0</v>
      </c>
      <c r="O11" s="123">
        <f>IF($E11=0,0,NSTonghop!P11)</f>
        <v>0</v>
      </c>
      <c r="P11" s="123">
        <f>IF($E11=0,0,NSTonghop!Q11)</f>
        <v>0</v>
      </c>
      <c r="Q11" s="123">
        <f>IF($E11=0,0,NSTonghop!R11)</f>
        <v>0</v>
      </c>
      <c r="R11" s="123">
        <f>IF($E11=0,0,NSTonghop!S11)</f>
        <v>0</v>
      </c>
      <c r="S11" s="123">
        <f>IF($E11=0,0,NSTonghop!T11)</f>
        <v>0</v>
      </c>
      <c r="T11" s="123">
        <f>IF($E11=0,0,NSTonghop!U11)</f>
        <v>0</v>
      </c>
      <c r="U11" s="123">
        <f>IF($E11=0,0,NSTonghop!V11)</f>
        <v>0</v>
      </c>
      <c r="V11" s="123">
        <f>IF($E11=0,0,NSTonghop!W11)</f>
        <v>0</v>
      </c>
      <c r="W11" s="241">
        <f>IF($E11=0,0,NSTonghop!Z11)</f>
        <v>0</v>
      </c>
      <c r="X11" s="241">
        <f>IF($E11=0,0,NSTonghop!AA11)</f>
        <v>0</v>
      </c>
      <c r="Y11" s="241">
        <f>IF($E11=0,0,NSTonghop!AB11)</f>
        <v>0</v>
      </c>
      <c r="Z11" s="241">
        <f>IF($E11=0,0,NSTonghop!AC11)</f>
        <v>0</v>
      </c>
      <c r="AA11" s="241">
        <f>IF($E11=0,0,NSTonghop!AD11)</f>
        <v>0</v>
      </c>
      <c r="AB11" s="241">
        <f>IF($E11=0,0,NSTonghop!AE11)</f>
        <v>0</v>
      </c>
      <c r="AC11" s="241">
        <f>IF($E11=0,0,NSTonghop!AF11)</f>
        <v>0</v>
      </c>
      <c r="AD11" s="241">
        <f>IF($E11=0,0,NSTonghop!AH11)</f>
        <v>0</v>
      </c>
      <c r="AE11" s="241">
        <f>IF($E11=0,0,NSTonghop!AJ11)</f>
        <v>0</v>
      </c>
      <c r="AF11" s="241">
        <f>IF($E11=0,0,NSTonghop!AK11)</f>
        <v>0</v>
      </c>
      <c r="AG11" s="241">
        <f>IF($E11=0,0,NSTonghop!AL11)</f>
        <v>0</v>
      </c>
      <c r="AH11" s="241">
        <f>IF($E11=0,0,NSTonghop!AO11)</f>
        <v>0</v>
      </c>
      <c r="AI11" s="241">
        <f>IF($E11=0,0,NSTonghop!AP11)</f>
        <v>0</v>
      </c>
      <c r="AJ11" s="241">
        <f>IF($E11=0,0,NSTonghop!AQ11)</f>
        <v>0</v>
      </c>
      <c r="AK11" s="241">
        <f>IF($E11=0,0,NSTonghop!AT11)</f>
        <v>0</v>
      </c>
      <c r="AL11" s="212"/>
    </row>
    <row r="12" spans="1:40" s="118" customFormat="1" hidden="1" x14ac:dyDescent="0.25">
      <c r="A12" s="220"/>
      <c r="B12" s="128">
        <f>IF(E12=0,0,MAX($B$8:B11)+1)</f>
        <v>0</v>
      </c>
      <c r="C12" s="132">
        <f>IF(E12=0,0,MAX($C$8:C11)+1)</f>
        <v>0</v>
      </c>
      <c r="D12" s="128">
        <f>IF(NSTonghop!AO12="",0,NSTonghop!E12)</f>
        <v>0</v>
      </c>
      <c r="E12" s="128">
        <f>IF(NSTonghop!AO12="",0,NSTonghop!F12)</f>
        <v>0</v>
      </c>
      <c r="F12" s="123">
        <f>IF($E12=0,0,NSTonghop!G12)</f>
        <v>0</v>
      </c>
      <c r="G12" s="123">
        <f>IF($E12=0,0,NSTonghop!H12)</f>
        <v>0</v>
      </c>
      <c r="H12" s="123">
        <f>IF($E12=0,0,NSTonghop!I12)</f>
        <v>0</v>
      </c>
      <c r="I12" s="125">
        <f t="shared" si="0"/>
        <v>0</v>
      </c>
      <c r="J12" s="125">
        <f t="shared" si="1"/>
        <v>0</v>
      </c>
      <c r="K12" s="123">
        <f>IF($E12=0,0,NSTonghop!L12)</f>
        <v>0</v>
      </c>
      <c r="L12" s="123">
        <f>IF($E12=0,0,NSTonghop!M12)</f>
        <v>0</v>
      </c>
      <c r="M12" s="123">
        <f>IF($E12=0,0,NSTonghop!N12)</f>
        <v>0</v>
      </c>
      <c r="N12" s="123">
        <f>IF($E12=0,0,NSTonghop!O12)</f>
        <v>0</v>
      </c>
      <c r="O12" s="123">
        <f>IF($E12=0,0,NSTonghop!P12)</f>
        <v>0</v>
      </c>
      <c r="P12" s="123">
        <f>IF($E12=0,0,NSTonghop!Q12)</f>
        <v>0</v>
      </c>
      <c r="Q12" s="123">
        <f>IF($E12=0,0,NSTonghop!R12)</f>
        <v>0</v>
      </c>
      <c r="R12" s="123">
        <f>IF($E12=0,0,NSTonghop!S12)</f>
        <v>0</v>
      </c>
      <c r="S12" s="123">
        <f>IF($E12=0,0,NSTonghop!T12)</f>
        <v>0</v>
      </c>
      <c r="T12" s="123">
        <f>IF($E12=0,0,NSTonghop!U12)</f>
        <v>0</v>
      </c>
      <c r="U12" s="123">
        <f>IF($E12=0,0,NSTonghop!V12)</f>
        <v>0</v>
      </c>
      <c r="V12" s="123">
        <f>IF($E12=0,0,NSTonghop!W12)</f>
        <v>0</v>
      </c>
      <c r="W12" s="241">
        <f>IF($E12=0,0,NSTonghop!Z12)</f>
        <v>0</v>
      </c>
      <c r="X12" s="241">
        <f>IF($E12=0,0,NSTonghop!AA12)</f>
        <v>0</v>
      </c>
      <c r="Y12" s="241">
        <f>IF($E12=0,0,NSTonghop!AB12)</f>
        <v>0</v>
      </c>
      <c r="Z12" s="241">
        <f>IF($E12=0,0,NSTonghop!AC12)</f>
        <v>0</v>
      </c>
      <c r="AA12" s="241">
        <f>IF($E12=0,0,NSTonghop!AD12)</f>
        <v>0</v>
      </c>
      <c r="AB12" s="241">
        <f>IF($E12=0,0,NSTonghop!AE12)</f>
        <v>0</v>
      </c>
      <c r="AC12" s="241">
        <f>IF($E12=0,0,NSTonghop!AF12)</f>
        <v>0</v>
      </c>
      <c r="AD12" s="241">
        <f>IF($E12=0,0,NSTonghop!AH12)</f>
        <v>0</v>
      </c>
      <c r="AE12" s="241">
        <f>IF($E12=0,0,NSTonghop!AJ12)</f>
        <v>0</v>
      </c>
      <c r="AF12" s="241">
        <f>IF($E12=0,0,NSTonghop!AK12)</f>
        <v>0</v>
      </c>
      <c r="AG12" s="241">
        <f>IF($E12=0,0,NSTonghop!AL12)</f>
        <v>0</v>
      </c>
      <c r="AH12" s="241">
        <f>IF($E12=0,0,NSTonghop!AO12)</f>
        <v>0</v>
      </c>
      <c r="AI12" s="241">
        <f>IF($E12=0,0,NSTonghop!AP12)</f>
        <v>0</v>
      </c>
      <c r="AJ12" s="241">
        <f>IF($E12=0,0,NSTonghop!AQ12)</f>
        <v>0</v>
      </c>
      <c r="AK12" s="241">
        <f>IF($E12=0,0,NSTonghop!AT12)</f>
        <v>0</v>
      </c>
      <c r="AL12" s="212"/>
    </row>
    <row r="13" spans="1:40" s="118" customFormat="1" hidden="1" x14ac:dyDescent="0.25">
      <c r="A13" s="220"/>
      <c r="B13" s="128">
        <f>IF(E13=0,0,MAX($B$8:B12)+1)</f>
        <v>0</v>
      </c>
      <c r="C13" s="132">
        <f>IF(E13=0,0,MAX($C$8:C12)+1)</f>
        <v>0</v>
      </c>
      <c r="D13" s="128">
        <f>IF(NSTonghop!AO13="",0,NSTonghop!E13)</f>
        <v>0</v>
      </c>
      <c r="E13" s="128">
        <f>IF(NSTonghop!AO13="",0,NSTonghop!F13)</f>
        <v>0</v>
      </c>
      <c r="F13" s="123">
        <f>IF($E13=0,0,NSTonghop!G13)</f>
        <v>0</v>
      </c>
      <c r="G13" s="123">
        <f>IF($E13=0,0,NSTonghop!H13)</f>
        <v>0</v>
      </c>
      <c r="H13" s="123">
        <f>IF($E13=0,0,NSTonghop!I13)</f>
        <v>0</v>
      </c>
      <c r="I13" s="125">
        <f t="shared" si="0"/>
        <v>0</v>
      </c>
      <c r="J13" s="125">
        <f t="shared" si="1"/>
        <v>0</v>
      </c>
      <c r="K13" s="123">
        <f>IF($E13=0,0,NSTonghop!L13)</f>
        <v>0</v>
      </c>
      <c r="L13" s="123">
        <f>IF($E13=0,0,NSTonghop!M13)</f>
        <v>0</v>
      </c>
      <c r="M13" s="123">
        <f>IF($E13=0,0,NSTonghop!N13)</f>
        <v>0</v>
      </c>
      <c r="N13" s="123">
        <f>IF($E13=0,0,NSTonghop!O13)</f>
        <v>0</v>
      </c>
      <c r="O13" s="123">
        <f>IF($E13=0,0,NSTonghop!P13)</f>
        <v>0</v>
      </c>
      <c r="P13" s="123">
        <f>IF($E13=0,0,NSTonghop!Q13)</f>
        <v>0</v>
      </c>
      <c r="Q13" s="123">
        <f>IF($E13=0,0,NSTonghop!R13)</f>
        <v>0</v>
      </c>
      <c r="R13" s="123">
        <f>IF($E13=0,0,NSTonghop!S13)</f>
        <v>0</v>
      </c>
      <c r="S13" s="123">
        <f>IF($E13=0,0,NSTonghop!T13)</f>
        <v>0</v>
      </c>
      <c r="T13" s="123">
        <f>IF($E13=0,0,NSTonghop!U13)</f>
        <v>0</v>
      </c>
      <c r="U13" s="123">
        <f>IF($E13=0,0,NSTonghop!V13)</f>
        <v>0</v>
      </c>
      <c r="V13" s="123">
        <f>IF($E13=0,0,NSTonghop!W13)</f>
        <v>0</v>
      </c>
      <c r="W13" s="241">
        <f>IF($E13=0,0,NSTonghop!Z13)</f>
        <v>0</v>
      </c>
      <c r="X13" s="241">
        <f>IF($E13=0,0,NSTonghop!AA13)</f>
        <v>0</v>
      </c>
      <c r="Y13" s="241">
        <f>IF($E13=0,0,NSTonghop!AB13)</f>
        <v>0</v>
      </c>
      <c r="Z13" s="241">
        <f>IF($E13=0,0,NSTonghop!AC13)</f>
        <v>0</v>
      </c>
      <c r="AA13" s="241">
        <f>IF($E13=0,0,NSTonghop!AD13)</f>
        <v>0</v>
      </c>
      <c r="AB13" s="241">
        <f>IF($E13=0,0,NSTonghop!AE13)</f>
        <v>0</v>
      </c>
      <c r="AC13" s="241">
        <f>IF($E13=0,0,NSTonghop!AF13)</f>
        <v>0</v>
      </c>
      <c r="AD13" s="241">
        <f>IF($E13=0,0,NSTonghop!AH13)</f>
        <v>0</v>
      </c>
      <c r="AE13" s="241">
        <f>IF($E13=0,0,NSTonghop!AJ13)</f>
        <v>0</v>
      </c>
      <c r="AF13" s="241">
        <f>IF($E13=0,0,NSTonghop!AK13)</f>
        <v>0</v>
      </c>
      <c r="AG13" s="241">
        <f>IF($E13=0,0,NSTonghop!AL13)</f>
        <v>0</v>
      </c>
      <c r="AH13" s="241">
        <f>IF($E13=0,0,NSTonghop!AO13)</f>
        <v>0</v>
      </c>
      <c r="AI13" s="241">
        <f>IF($E13=0,0,NSTonghop!AP13)</f>
        <v>0</v>
      </c>
      <c r="AJ13" s="241">
        <f>IF($E13=0,0,NSTonghop!AQ13)</f>
        <v>0</v>
      </c>
      <c r="AK13" s="241">
        <f>IF($E13=0,0,NSTonghop!AT13)</f>
        <v>0</v>
      </c>
      <c r="AL13" s="212"/>
    </row>
    <row r="14" spans="1:40" s="118" customFormat="1" hidden="1" x14ac:dyDescent="0.25">
      <c r="A14" s="220"/>
      <c r="B14" s="142">
        <f>IF(E14=0,0,MAX($B$8:B13)+1)</f>
        <v>0</v>
      </c>
      <c r="C14" s="143">
        <f>IF(E14=0,0,MAX($C$8:C13)+1)</f>
        <v>0</v>
      </c>
      <c r="D14" s="142">
        <f>IF(NSTonghop!AO14="",0,NSTonghop!E14)</f>
        <v>0</v>
      </c>
      <c r="E14" s="142">
        <f>IF(NSTonghop!AO14="",0,NSTonghop!F14)</f>
        <v>0</v>
      </c>
      <c r="F14" s="145">
        <f>IF($E14=0,0,NSTonghop!G14)</f>
        <v>0</v>
      </c>
      <c r="G14" s="145">
        <f>IF($E14=0,0,NSTonghop!H14)</f>
        <v>0</v>
      </c>
      <c r="H14" s="145">
        <f>IF($E14=0,0,NSTonghop!I14)</f>
        <v>0</v>
      </c>
      <c r="I14" s="147">
        <f t="shared" si="0"/>
        <v>0</v>
      </c>
      <c r="J14" s="147">
        <f t="shared" si="1"/>
        <v>0</v>
      </c>
      <c r="K14" s="145">
        <f>IF($E14=0,0,NSTonghop!L14)</f>
        <v>0</v>
      </c>
      <c r="L14" s="145">
        <f>IF($E14=0,0,NSTonghop!M14)</f>
        <v>0</v>
      </c>
      <c r="M14" s="145">
        <f>IF($E14=0,0,NSTonghop!N14)</f>
        <v>0</v>
      </c>
      <c r="N14" s="145">
        <f>IF($E14=0,0,NSTonghop!O14)</f>
        <v>0</v>
      </c>
      <c r="O14" s="145">
        <f>IF($E14=0,0,NSTonghop!P14)</f>
        <v>0</v>
      </c>
      <c r="P14" s="145">
        <f>IF($E14=0,0,NSTonghop!Q14)</f>
        <v>0</v>
      </c>
      <c r="Q14" s="145">
        <f>IF($E14=0,0,NSTonghop!R14)</f>
        <v>0</v>
      </c>
      <c r="R14" s="145">
        <f>IF($E14=0,0,NSTonghop!S14)</f>
        <v>0</v>
      </c>
      <c r="S14" s="145">
        <f>IF($E14=0,0,NSTonghop!T14)</f>
        <v>0</v>
      </c>
      <c r="T14" s="145">
        <f>IF($E14=0,0,NSTonghop!U14)</f>
        <v>0</v>
      </c>
      <c r="U14" s="145">
        <f>IF($E14=0,0,NSTonghop!V14)</f>
        <v>0</v>
      </c>
      <c r="V14" s="145">
        <f>IF($E14=0,0,NSTonghop!W14)</f>
        <v>0</v>
      </c>
      <c r="W14" s="242">
        <f>IF($E14=0,0,NSTonghop!Z14)</f>
        <v>0</v>
      </c>
      <c r="X14" s="242">
        <f>IF($E14=0,0,NSTonghop!AA14)</f>
        <v>0</v>
      </c>
      <c r="Y14" s="242">
        <f>IF($E14=0,0,NSTonghop!AB14)</f>
        <v>0</v>
      </c>
      <c r="Z14" s="242">
        <f>IF($E14=0,0,NSTonghop!AC14)</f>
        <v>0</v>
      </c>
      <c r="AA14" s="242">
        <f>IF($E14=0,0,NSTonghop!AD14)</f>
        <v>0</v>
      </c>
      <c r="AB14" s="242">
        <f>IF($E14=0,0,NSTonghop!AE14)</f>
        <v>0</v>
      </c>
      <c r="AC14" s="242">
        <f>IF($E14=0,0,NSTonghop!AF14)</f>
        <v>0</v>
      </c>
      <c r="AD14" s="242">
        <f>IF($E14=0,0,NSTonghop!AH14)</f>
        <v>0</v>
      </c>
      <c r="AE14" s="242">
        <f>IF($E14=0,0,NSTonghop!AJ14)</f>
        <v>0</v>
      </c>
      <c r="AF14" s="242">
        <f>IF($E14=0,0,NSTonghop!AK14)</f>
        <v>0</v>
      </c>
      <c r="AG14" s="242">
        <f>IF($E14=0,0,NSTonghop!AL14)</f>
        <v>0</v>
      </c>
      <c r="AH14" s="242">
        <f>IF($E14=0,0,NSTonghop!AO14)</f>
        <v>0</v>
      </c>
      <c r="AI14" s="242">
        <f>IF($E14=0,0,NSTonghop!AP14)</f>
        <v>0</v>
      </c>
      <c r="AJ14" s="242">
        <f>IF($E14=0,0,NSTonghop!AQ14)</f>
        <v>0</v>
      </c>
      <c r="AK14" s="242">
        <f>IF($E14=0,0,NSTonghop!AT14)</f>
        <v>0</v>
      </c>
      <c r="AL14" s="212"/>
    </row>
    <row r="15" spans="1:40" x14ac:dyDescent="0.25">
      <c r="A15" s="220"/>
      <c r="B15" s="151">
        <f>IF(E15=0,0,MAX($B$8:B14)+1)</f>
        <v>3</v>
      </c>
      <c r="C15" s="152">
        <f>IF(E15=0,0,1)</f>
        <v>1</v>
      </c>
      <c r="D15" s="151">
        <f>IF(NSTonghop!AO15="",0,NSTonghop!E15)</f>
        <v>0</v>
      </c>
      <c r="E15" s="151" t="str">
        <f>IF(NSTonghop!AO15="",0,NSTonghop!F15)</f>
        <v>Nguyễn Thanh Hùng</v>
      </c>
      <c r="F15" s="123">
        <f>IF($E15=0,0,NSTonghop!G15)</f>
        <v>0</v>
      </c>
      <c r="G15" s="123" t="str">
        <f>IF($E15=0,0,NSTonghop!H15)</f>
        <v>29/12/1967</v>
      </c>
      <c r="H15" s="123">
        <f>IF($E15=0,0,NSTonghop!I15)</f>
        <v>0</v>
      </c>
      <c r="I15" s="185">
        <f t="shared" si="0"/>
        <v>1967</v>
      </c>
      <c r="J15" s="185">
        <f t="shared" si="1"/>
        <v>0</v>
      </c>
      <c r="K15" s="123" t="str">
        <f>IF($E15=0,0,NSTonghop!L15)</f>
        <v>HT</v>
      </c>
      <c r="L15" s="123" t="str">
        <f>IF($E15=0,0,NSTonghop!M15)</f>
        <v>09/03/2017</v>
      </c>
      <c r="M15" s="123" t="str">
        <f>IF($E15=0,0,NSTonghop!N15)</f>
        <v>x</v>
      </c>
      <c r="N15" s="123" t="str">
        <f>IF($E15=0,0,NSTonghop!O15)</f>
        <v>Nông dân</v>
      </c>
      <c r="O15" s="123" t="str">
        <f>IF($E15=0,0,NSTonghop!P15)</f>
        <v>Điều Hòa-Định Tường</v>
      </c>
      <c r="P15" s="123" t="str">
        <f>IF($E15=0,0,NSTonghop!Q15)</f>
        <v>Bình Mỹ-Châu Phú</v>
      </c>
      <c r="Q15" s="123" t="str">
        <f>IF($E15=0,0,NSTonghop!R15)</f>
        <v>198/5 Bình Hưng I, Bình Mỹ</v>
      </c>
      <c r="R15" s="123" t="str">
        <f>IF($E15=0,0,NSTonghop!S15)</f>
        <v>PTTH/85/TB</v>
      </c>
      <c r="S15" s="123" t="str">
        <f>IF($E15=0,0,NSTonghop!T15)</f>
        <v>CĐ2/Lý-KTPT/87/TB</v>
      </c>
      <c r="T15" s="123" t="str">
        <f>IF($E15=0,0,NSTonghop!U15)</f>
        <v>ĐHTC/Lý/97/TB</v>
      </c>
      <c r="U15" s="123" t="str">
        <f>IF($E15=0,0,NSTonghop!V15)</f>
        <v>QLSREM/09</v>
      </c>
      <c r="V15" s="123" t="str">
        <f>IF($E15=0,0,NSTonghop!W15)</f>
        <v>ĐHTC</v>
      </c>
      <c r="W15" s="241" t="str">
        <f>IF($E15=0,0,NSTonghop!Z15)</f>
        <v>QLPT/99/Khá</v>
      </c>
      <c r="X15" s="241" t="str">
        <f>IF($E15=0,0,NSTonghop!AA15)</f>
        <v>TC/01/Khá</v>
      </c>
      <c r="Y15" s="241">
        <f>IF($E15=0,0,NSTonghop!AB15)</f>
        <v>0</v>
      </c>
      <c r="Z15" s="241">
        <f>IF($E15=0,0,NSTonghop!AC15)</f>
        <v>0</v>
      </c>
      <c r="AA15" s="241" t="str">
        <f>IF($E15=0,0,NSTonghop!AD15)</f>
        <v>KĐCL/10</v>
      </c>
      <c r="AB15" s="241" t="str">
        <f>IF($E15=0,0,NSTonghop!AE15)</f>
        <v>NLQLTC/09</v>
      </c>
      <c r="AC15" s="241" t="str">
        <f>IF($E15=0,0,NSTonghop!AF15)</f>
        <v>NLCLPT/13</v>
      </c>
      <c r="AD15" s="241" t="str">
        <f>IF($E15=0,0,NSTonghop!AH15)</f>
        <v>CC/09/Giỏi</v>
      </c>
      <c r="AE15" s="241">
        <f>IF($E15=0,0,NSTonghop!AJ15)</f>
        <v>350829378</v>
      </c>
      <c r="AF15" s="241" t="str">
        <f>IF($E15=0,0,NSTonghop!AK15)</f>
        <v>28/06/2007</v>
      </c>
      <c r="AG15" s="241" t="str">
        <f>IF($E15=0,0,NSTonghop!AL15)</f>
        <v>10/09/1987</v>
      </c>
      <c r="AH15" s="241" t="str">
        <f>IF($E15=0,0,NSTonghop!AO15)</f>
        <v>16/04/1998</v>
      </c>
      <c r="AI15" s="241" t="str">
        <f>IF($E15=0,0,NSTonghop!AP15)</f>
        <v>31.014 905</v>
      </c>
      <c r="AJ15" s="241">
        <f>IF($E15=0,0,NSTonghop!AQ15)</f>
        <v>1998</v>
      </c>
      <c r="AK15" s="241" t="str">
        <f>IF($E15=0,0,NSTonghop!AT15)</f>
        <v>0919304371</v>
      </c>
      <c r="AL15" s="212"/>
    </row>
    <row r="16" spans="1:40" x14ac:dyDescent="0.25">
      <c r="A16" s="220"/>
      <c r="B16" s="162">
        <f>IF(E16=0,0,MAX($B$8:B15)+1)</f>
        <v>4</v>
      </c>
      <c r="C16" s="163">
        <f>IF(E16=0,0,MAX($C$15:C15)+1)</f>
        <v>2</v>
      </c>
      <c r="D16" s="162">
        <f>IF(NSTonghop!AO16="",0,NSTonghop!E16)</f>
        <v>0</v>
      </c>
      <c r="E16" s="162" t="str">
        <f>IF(NSTonghop!AO16="",0,NSTonghop!F16)</f>
        <v>Võ Minh Triết</v>
      </c>
      <c r="F16" s="123">
        <f>IF($E16=0,0,NSTonghop!G16)</f>
        <v>0</v>
      </c>
      <c r="G16" s="123" t="str">
        <f>IF($E16=0,0,NSTonghop!H16)</f>
        <v>08/07/1968</v>
      </c>
      <c r="H16" s="123">
        <f>IF($E16=0,0,NSTonghop!I16)</f>
        <v>0</v>
      </c>
      <c r="I16" s="125">
        <f t="shared" si="0"/>
        <v>1968</v>
      </c>
      <c r="J16" s="125">
        <f t="shared" si="1"/>
        <v>0</v>
      </c>
      <c r="K16" s="123" t="str">
        <f>IF($E16=0,0,NSTonghop!L16)</f>
        <v>PHT</v>
      </c>
      <c r="L16" s="123" t="str">
        <f>IF($E16=0,0,NSTonghop!M16)</f>
        <v>17/11/2014</v>
      </c>
      <c r="M16" s="123" t="str">
        <f>IF($E16=0,0,NSTonghop!N16)</f>
        <v>x</v>
      </c>
      <c r="N16" s="123" t="str">
        <f>IF($E16=0,0,NSTonghop!O16)</f>
        <v>Nông dân</v>
      </c>
      <c r="O16" s="123" t="str">
        <f>IF($E16=0,0,NSTonghop!P16)</f>
        <v>Vĩnh Thạnh Trung-An Giang</v>
      </c>
      <c r="P16" s="123" t="str">
        <f>IF($E16=0,0,NSTonghop!Q16)</f>
        <v>Vĩnh Thạnh Trung-Châu Phú</v>
      </c>
      <c r="Q16" s="123" t="str">
        <f>IF($E16=0,0,NSTonghop!R16)</f>
        <v>Vĩnh Hưng-VTT</v>
      </c>
      <c r="R16" s="123" t="str">
        <f>IF($E16=0,0,NSTonghop!S16)</f>
        <v>PTTH/85/TB</v>
      </c>
      <c r="S16" s="123" t="str">
        <f>IF($E16=0,0,NSTonghop!T16)</f>
        <v>CĐ3/Toán-KTCN/89/TB</v>
      </c>
      <c r="T16" s="123" t="str">
        <f>IF($E16=0,0,NSTonghop!U16)</f>
        <v>ĐHTX/Toán/99/Khá</v>
      </c>
      <c r="U16" s="123">
        <f>IF($E16=0,0,NSTonghop!V16)</f>
        <v>0</v>
      </c>
      <c r="V16" s="123" t="str">
        <f>IF($E16=0,0,NSTonghop!W16)</f>
        <v>ĐHTX</v>
      </c>
      <c r="W16" s="241" t="str">
        <f>IF($E16=0,0,NSTonghop!Z16)</f>
        <v>QLTHCS/09/Khá</v>
      </c>
      <c r="X16" s="241" t="str">
        <f>IF($E16=0,0,NSTonghop!AA16)</f>
        <v>TC/05/TB</v>
      </c>
      <c r="Y16" s="241" t="str">
        <f>IF($E16=0,0,NSTonghop!AB16)</f>
        <v>A/03/Giỏi</v>
      </c>
      <c r="Z16" s="241" t="str">
        <f>IF($E16=0,0,NSTonghop!AC16)</f>
        <v>A/Anh/07/TB</v>
      </c>
      <c r="AA16" s="241">
        <f>IF($E16=0,0,NSTonghop!AD16)</f>
        <v>0</v>
      </c>
      <c r="AB16" s="241" t="str">
        <f>IF($E16=0,0,NSTonghop!AE16)</f>
        <v>NLQLTC/09</v>
      </c>
      <c r="AC16" s="241" t="str">
        <f>IF($E16=0,0,NSTonghop!AF16)</f>
        <v>NLCLPT/13</v>
      </c>
      <c r="AD16" s="241" t="str">
        <f>IF($E16=0,0,NSTonghop!AH16)</f>
        <v>CC/09/Khá</v>
      </c>
      <c r="AE16" s="241">
        <f>IF($E16=0,0,NSTonghop!AJ16)</f>
        <v>350770109</v>
      </c>
      <c r="AF16" s="241" t="str">
        <f>IF($E16=0,0,NSTonghop!AK16)</f>
        <v>10/10/2010</v>
      </c>
      <c r="AG16" s="241" t="str">
        <f>IF($E16=0,0,NSTonghop!AL16)</f>
        <v>05/09/1988</v>
      </c>
      <c r="AH16" s="241" t="str">
        <f>IF($E16=0,0,NSTonghop!AO16)</f>
        <v>18/09/2003</v>
      </c>
      <c r="AI16" s="241" t="str">
        <f>IF($E16=0,0,NSTonghop!AP16)</f>
        <v>31.026 868</v>
      </c>
      <c r="AJ16" s="241">
        <f>IF($E16=0,0,NSTonghop!AQ16)</f>
        <v>2003</v>
      </c>
      <c r="AK16" s="241" t="str">
        <f>IF($E16=0,0,NSTonghop!AT16)</f>
        <v>0919029403</v>
      </c>
      <c r="AL16" s="212"/>
    </row>
    <row r="17" spans="1:38" x14ac:dyDescent="0.25">
      <c r="A17" s="220"/>
      <c r="B17" s="162">
        <f>IF(E17=0,0,MAX($B$8:B16)+1)</f>
        <v>5</v>
      </c>
      <c r="C17" s="163">
        <f>IF(E17=0,0,MAX($C$15:C16)+1)</f>
        <v>3</v>
      </c>
      <c r="D17" s="162">
        <f>IF(NSTonghop!AO17="",0,NSTonghop!E17)</f>
        <v>0</v>
      </c>
      <c r="E17" s="162" t="str">
        <f>IF(NSTonghop!AO17="",0,NSTonghop!F17)</f>
        <v>Dương Thanh Phong</v>
      </c>
      <c r="F17" s="123">
        <f>IF($E17=0,0,NSTonghop!G17)</f>
        <v>0</v>
      </c>
      <c r="G17" s="123" t="str">
        <f>IF($E17=0,0,NSTonghop!H17)</f>
        <v>01/09/1977</v>
      </c>
      <c r="H17" s="123">
        <f>IF($E17=0,0,NSTonghop!I17)</f>
        <v>0</v>
      </c>
      <c r="I17" s="125">
        <f t="shared" si="0"/>
        <v>1977</v>
      </c>
      <c r="J17" s="125">
        <f t="shared" si="1"/>
        <v>0</v>
      </c>
      <c r="K17" s="123" t="str">
        <f>IF($E17=0,0,NSTonghop!L17)</f>
        <v>PHT</v>
      </c>
      <c r="L17" s="123" t="str">
        <f>IF($E17=0,0,NSTonghop!M17)</f>
        <v>09/03/2017</v>
      </c>
      <c r="M17" s="123" t="str">
        <f>IF($E17=0,0,NSTonghop!N17)</f>
        <v>Cao đài</v>
      </c>
      <c r="N17" s="123" t="str">
        <f>IF($E17=0,0,NSTonghop!O17)</f>
        <v>Nông dân</v>
      </c>
      <c r="O17" s="123" t="str">
        <f>IF($E17=0,0,NSTonghop!P17)</f>
        <v>Mỹ Đức-An Giang</v>
      </c>
      <c r="P17" s="123" t="str">
        <f>IF($E17=0,0,NSTonghop!Q17)</f>
        <v>Vĩnh Mỹ-Châu Đốc</v>
      </c>
      <c r="Q17" s="123" t="str">
        <f>IF($E17=0,0,NSTonghop!R17)</f>
        <v>Mỹ Đức-Châu Phú</v>
      </c>
      <c r="R17" s="123" t="str">
        <f>IF($E17=0,0,NSTonghop!S17)</f>
        <v>PTTH/96/TB</v>
      </c>
      <c r="S17" s="123" t="str">
        <f>IF($E17=0,0,NSTonghop!T17)</f>
        <v>CĐCQ3/TD/99/Khá</v>
      </c>
      <c r="T17" s="123" t="str">
        <f>IF($E17=0,0,NSTonghop!U17)</f>
        <v>ĐHTC/TD/2019/XS</v>
      </c>
      <c r="U17" s="123">
        <f>IF($E17=0,0,NSTonghop!V17)</f>
        <v>0</v>
      </c>
      <c r="V17" s="123" t="str">
        <f>IF($E17=0,0,NSTonghop!W17)</f>
        <v>ĐHTC</v>
      </c>
      <c r="W17" s="241" t="str">
        <f>IF($E17=0,0,NSTonghop!Z17)</f>
        <v>QLTHCS/18/Khá</v>
      </c>
      <c r="X17" s="241" t="str">
        <f>IF($E17=0,0,NSTonghop!AA17)</f>
        <v>TC/12/Khá</v>
      </c>
      <c r="Y17" s="241" t="str">
        <f>IF($E17=0,0,NSTonghop!AB17)</f>
        <v>A/07/Giỏi</v>
      </c>
      <c r="Z17" s="241" t="str">
        <f>IF($E17=0,0,NSTonghop!AC17)</f>
        <v>B/Anh/13/Khá</v>
      </c>
      <c r="AA17" s="241">
        <f>IF($E17=0,0,NSTonghop!AD17)</f>
        <v>0</v>
      </c>
      <c r="AB17" s="241" t="str">
        <f>IF($E17=0,0,NSTonghop!AE17)</f>
        <v>NC đàn organ/05</v>
      </c>
      <c r="AC17" s="241">
        <f>IF($E17=0,0,NSTonghop!AF17)</f>
        <v>0</v>
      </c>
      <c r="AD17" s="241">
        <f>IF($E17=0,0,NSTonghop!AH17)</f>
        <v>0</v>
      </c>
      <c r="AE17" s="241">
        <f>IF($E17=0,0,NSTonghop!AJ17)</f>
        <v>351768511</v>
      </c>
      <c r="AF17" s="241" t="str">
        <f>IF($E17=0,0,NSTonghop!AK17)</f>
        <v>27/05/2003</v>
      </c>
      <c r="AG17" s="241" t="str">
        <f>IF($E17=0,0,NSTonghop!AL17)</f>
        <v>01/09/1997</v>
      </c>
      <c r="AH17" s="241" t="str">
        <f>IF($E17=0,0,NSTonghop!AO17)</f>
        <v>27/06/2002</v>
      </c>
      <c r="AI17" s="241" t="str">
        <f>IF($E17=0,0,NSTonghop!AP17)</f>
        <v>31.015 016</v>
      </c>
      <c r="AJ17" s="241">
        <f>IF($E17=0,0,NSTonghop!AQ17)</f>
        <v>2002</v>
      </c>
      <c r="AK17" s="241" t="str">
        <f>IF($E17=0,0,NSTonghop!AT17)</f>
        <v>0916271620</v>
      </c>
      <c r="AL17" s="212"/>
    </row>
    <row r="18" spans="1:38" x14ac:dyDescent="0.25">
      <c r="A18" s="220"/>
      <c r="B18" s="162">
        <f>IF(E18=0,0,MAX($B$8:B17)+1)</f>
        <v>6</v>
      </c>
      <c r="C18" s="163">
        <f>IF(E18=0,0,MAX($C$15:C17)+1)</f>
        <v>4</v>
      </c>
      <c r="D18" s="162">
        <f>IF(NSTonghop!AO18="",0,NSTonghop!E18)</f>
        <v>0</v>
      </c>
      <c r="E18" s="162" t="str">
        <f>IF(NSTonghop!AO18="",0,NSTonghop!F18)</f>
        <v>Nguyễn Thái Bình</v>
      </c>
      <c r="F18" s="123">
        <f>IF($E18=0,0,NSTonghop!G18)</f>
        <v>0</v>
      </c>
      <c r="G18" s="123" t="str">
        <f>IF($E18=0,0,NSTonghop!H18)</f>
        <v>17/06/1979</v>
      </c>
      <c r="H18" s="123">
        <f>IF($E18=0,0,NSTonghop!I18)</f>
        <v>0</v>
      </c>
      <c r="I18" s="125">
        <f t="shared" si="0"/>
        <v>1979</v>
      </c>
      <c r="J18" s="125">
        <f t="shared" si="1"/>
        <v>0</v>
      </c>
      <c r="K18" s="123" t="str">
        <f>IF($E18=0,0,NSTonghop!L18)</f>
        <v>GV</v>
      </c>
      <c r="L18" s="123">
        <f>IF($E18=0,0,NSTonghop!M18)</f>
        <v>0</v>
      </c>
      <c r="M18" s="123" t="str">
        <f>IF($E18=0,0,NSTonghop!N18)</f>
        <v>Phật</v>
      </c>
      <c r="N18" s="123" t="str">
        <f>IF($E18=0,0,NSTonghop!O18)</f>
        <v>Tiểu thương</v>
      </c>
      <c r="O18" s="123" t="str">
        <f>IF($E18=0,0,NSTonghop!P18)</f>
        <v>Bình Long-An Giang</v>
      </c>
      <c r="P18" s="123" t="str">
        <f>IF($E18=0,0,NSTonghop!Q18)</f>
        <v>Bình Long-Châu Phú</v>
      </c>
      <c r="Q18" s="123" t="str">
        <f>IF($E18=0,0,NSTonghop!R18)</f>
        <v>82/5 Bình Chánh-Bình Long</v>
      </c>
      <c r="R18" s="123" t="str">
        <f>IF($E18=0,0,NSTonghop!S18)</f>
        <v>PTTH/97/TB</v>
      </c>
      <c r="S18" s="123" t="str">
        <f>IF($E18=0,0,NSTonghop!T18)</f>
        <v>CĐ3/Văn-Sử/01/TB</v>
      </c>
      <c r="T18" s="123" t="str">
        <f>IF($E18=0,0,NSTonghop!U18)</f>
        <v>ĐHTX/Văn/07/TBK</v>
      </c>
      <c r="U18" s="123">
        <f>IF($E18=0,0,NSTonghop!V18)</f>
        <v>0</v>
      </c>
      <c r="V18" s="123" t="str">
        <f>IF($E18=0,0,NSTonghop!W18)</f>
        <v>ĐHTX</v>
      </c>
      <c r="W18" s="241">
        <f>IF($E18=0,0,NSTonghop!Z18)</f>
        <v>0</v>
      </c>
      <c r="X18" s="241" t="str">
        <f>IF($E18=0,0,NSTonghop!AA18)</f>
        <v>SC/18</v>
      </c>
      <c r="Y18" s="241" t="str">
        <f>IF($E18=0,0,NSTonghop!AB18)</f>
        <v>A/04/Khá</v>
      </c>
      <c r="Z18" s="241" t="str">
        <f>IF($E18=0,0,NSTonghop!AC18)</f>
        <v>B/Anh/08/TB</v>
      </c>
      <c r="AA18" s="241">
        <f>IF($E18=0,0,NSTonghop!AD18)</f>
        <v>0</v>
      </c>
      <c r="AB18" s="241">
        <f>IF($E18=0,0,NSTonghop!AE18)</f>
        <v>0</v>
      </c>
      <c r="AC18" s="241">
        <f>IF($E18=0,0,NSTonghop!AF18)</f>
        <v>0</v>
      </c>
      <c r="AD18" s="241" t="str">
        <f>IF($E18=0,0,NSTonghop!AH18)</f>
        <v>CN/09/TB</v>
      </c>
      <c r="AE18" s="241">
        <f>IF($E18=0,0,NSTonghop!AJ18)</f>
        <v>351300396</v>
      </c>
      <c r="AF18" s="241" t="str">
        <f>IF($E18=0,0,NSTonghop!AK18)</f>
        <v>06/07/2015</v>
      </c>
      <c r="AG18" s="241" t="str">
        <f>IF($E18=0,0,NSTonghop!AL18)</f>
        <v>01/09/2001</v>
      </c>
      <c r="AH18" s="241" t="str">
        <f>IF($E18=0,0,NSTonghop!AO18)</f>
        <v>27/07/2006</v>
      </c>
      <c r="AI18" s="241" t="str">
        <f>IF($E18=0,0,NSTonghop!AP18)</f>
        <v>31.030 479</v>
      </c>
      <c r="AJ18" s="241">
        <f>IF($E18=0,0,NSTonghop!AQ18)</f>
        <v>2006</v>
      </c>
      <c r="AK18" s="241" t="str">
        <f>IF($E18=0,0,NSTonghop!AT18)</f>
        <v>0919159154</v>
      </c>
      <c r="AL18" s="212"/>
    </row>
    <row r="19" spans="1:38" x14ac:dyDescent="0.25">
      <c r="A19" s="220"/>
      <c r="B19" s="173">
        <f>IF(E19=0,0,MAX($B$8:B18)+1)</f>
        <v>7</v>
      </c>
      <c r="C19" s="174">
        <f>IF(E19=0,0,MAX($C$15:C18)+1)</f>
        <v>5</v>
      </c>
      <c r="D19" s="173">
        <f>IF(NSTonghop!AO19="",0,NSTonghop!E19)</f>
        <v>0</v>
      </c>
      <c r="E19" s="173" t="str">
        <f>IF(NSTonghop!AO19="",0,NSTonghop!F19)</f>
        <v>Bùi Thông Thái</v>
      </c>
      <c r="F19" s="145">
        <f>IF($E19=0,0,NSTonghop!G19)</f>
        <v>0</v>
      </c>
      <c r="G19" s="145" t="str">
        <f>IF($E19=0,0,NSTonghop!H19)</f>
        <v>22/07/1965</v>
      </c>
      <c r="H19" s="145">
        <f>IF($E19=0,0,NSTonghop!I19)</f>
        <v>0</v>
      </c>
      <c r="I19" s="147">
        <f t="shared" si="0"/>
        <v>1965</v>
      </c>
      <c r="J19" s="147">
        <f t="shared" si="1"/>
        <v>0</v>
      </c>
      <c r="K19" s="145" t="str">
        <f>IF($E19=0,0,NSTonghop!L19)</f>
        <v>GV</v>
      </c>
      <c r="L19" s="145">
        <f>IF($E19=0,0,NSTonghop!M19)</f>
        <v>0</v>
      </c>
      <c r="M19" s="145" t="str">
        <f>IF($E19=0,0,NSTonghop!N19)</f>
        <v>Hòa Hảo</v>
      </c>
      <c r="N19" s="145" t="str">
        <f>IF($E19=0,0,NSTonghop!O19)</f>
        <v>Nông dân</v>
      </c>
      <c r="O19" s="145" t="str">
        <f>IF($E19=0,0,NSTonghop!P19)</f>
        <v>Vĩnh Thạnh Trung-AG</v>
      </c>
      <c r="P19" s="145" t="str">
        <f>IF($E19=0,0,NSTonghop!Q19)</f>
        <v>Vĩnh Thạnh Trung-Châu Phú</v>
      </c>
      <c r="Q19" s="145" t="str">
        <f>IF($E19=0,0,NSTonghop!R19)</f>
        <v>146/6 Vĩnh Phú-VTT</v>
      </c>
      <c r="R19" s="145" t="str">
        <f>IF($E19=0,0,NSTonghop!S19)</f>
        <v>PTTH/82/TB</v>
      </c>
      <c r="S19" s="145" t="str">
        <f>IF($E19=0,0,NSTonghop!T19)</f>
        <v>CĐ3/Hóa-Địa/86/TB</v>
      </c>
      <c r="T19" s="145" t="str">
        <f>IF($E19=0,0,NSTonghop!U19)</f>
        <v>ĐHTX/Địa/99/TB</v>
      </c>
      <c r="U19" s="145" t="str">
        <f>IF($E19=0,0,NSTonghop!V19)</f>
        <v>ĐHTX/Hóa/04/Khá</v>
      </c>
      <c r="V19" s="145" t="str">
        <f>IF($E19=0,0,NSTonghop!W19)</f>
        <v>ĐHTX</v>
      </c>
      <c r="W19" s="242" t="str">
        <f>IF($E19=0,0,NSTonghop!Z19)</f>
        <v>QLTH/11/Khá</v>
      </c>
      <c r="X19" s="242" t="str">
        <f>IF($E19=0,0,NSTonghop!AA19)</f>
        <v>TC/10/TB/TC</v>
      </c>
      <c r="Y19" s="242" t="str">
        <f>IF($E19=0,0,NSTonghop!AB19)</f>
        <v>A/09/Khá</v>
      </c>
      <c r="Z19" s="242">
        <f>IF($E19=0,0,NSTonghop!AC19)</f>
        <v>0</v>
      </c>
      <c r="AA19" s="242">
        <f>IF($E19=0,0,NSTonghop!AD19)</f>
        <v>0</v>
      </c>
      <c r="AB19" s="242">
        <f>IF($E19=0,0,NSTonghop!AE19)</f>
        <v>0</v>
      </c>
      <c r="AC19" s="242">
        <f>IF($E19=0,0,NSTonghop!AF19)</f>
        <v>0</v>
      </c>
      <c r="AD19" s="242" t="str">
        <f>IF($E19=0,0,NSTonghop!AH19)</f>
        <v xml:space="preserve"> </v>
      </c>
      <c r="AE19" s="242">
        <f>IF($E19=0,0,NSTonghop!AJ19)</f>
        <v>350654244</v>
      </c>
      <c r="AF19" s="242" t="str">
        <f>IF($E19=0,0,NSTonghop!AK19)</f>
        <v>25/01/2008</v>
      </c>
      <c r="AG19" s="242" t="str">
        <f>IF($E19=0,0,NSTonghop!AL19)</f>
        <v>09/09/1985</v>
      </c>
      <c r="AH19" s="242" t="str">
        <f>IF($E19=0,0,NSTonghop!AO19)</f>
        <v>19/05/2004</v>
      </c>
      <c r="AI19" s="242" t="str">
        <f>IF($E19=0,0,NSTonghop!AP19)</f>
        <v>31.026 220</v>
      </c>
      <c r="AJ19" s="242">
        <f>IF($E19=0,0,NSTonghop!AQ19)</f>
        <v>2004</v>
      </c>
      <c r="AK19" s="242" t="str">
        <f>IF($E19=0,0,NSTonghop!AT19)</f>
        <v>0974417092</v>
      </c>
      <c r="AL19" s="212"/>
    </row>
    <row r="20" spans="1:38" s="118" customFormat="1" x14ac:dyDescent="0.25">
      <c r="A20" s="220"/>
      <c r="B20" s="122">
        <f>IF(E20=0,0,MAX($B$8:B19)+1)</f>
        <v>8</v>
      </c>
      <c r="C20" s="182">
        <f>IF(E20=0,0,1)</f>
        <v>1</v>
      </c>
      <c r="D20" s="122">
        <f>IF(NSTonghop!AO20="",0,NSTonghop!E20)</f>
        <v>0</v>
      </c>
      <c r="E20" s="122" t="str">
        <f>IF(NSTonghop!AO20="",0,NSTonghop!F20)</f>
        <v>Đỗ Viết Hùng</v>
      </c>
      <c r="F20" s="123">
        <f>IF($E20=0,0,NSTonghop!G20)</f>
        <v>0</v>
      </c>
      <c r="G20" s="123" t="str">
        <f>IF($E20=0,0,NSTonghop!H20)</f>
        <v>19/02/1975</v>
      </c>
      <c r="H20" s="123">
        <f>IF($E20=0,0,NSTonghop!I20)</f>
        <v>0</v>
      </c>
      <c r="I20" s="185">
        <f t="shared" si="0"/>
        <v>1975</v>
      </c>
      <c r="J20" s="185">
        <f t="shared" si="1"/>
        <v>0</v>
      </c>
      <c r="K20" s="123" t="str">
        <f>IF($E20=0,0,NSTonghop!L20)</f>
        <v>GV</v>
      </c>
      <c r="L20" s="123">
        <f>IF($E20=0,0,NSTonghop!M20)</f>
        <v>0</v>
      </c>
      <c r="M20" s="123" t="str">
        <f>IF($E20=0,0,NSTonghop!N20)</f>
        <v>Phật</v>
      </c>
      <c r="N20" s="123" t="str">
        <f>IF($E20=0,0,NSTonghop!O20)</f>
        <v>Nông dân</v>
      </c>
      <c r="O20" s="123" t="str">
        <f>IF($E20=0,0,NSTonghop!P20)</f>
        <v>Vĩnh Thạnh Trung-An Giang</v>
      </c>
      <c r="P20" s="123" t="str">
        <f>IF($E20=0,0,NSTonghop!Q20)</f>
        <v>Cái Dầu-Châu Phú</v>
      </c>
      <c r="Q20" s="123" t="str">
        <f>IF($E20=0,0,NSTonghop!R20)</f>
        <v>Bình Hưng-Bình Long</v>
      </c>
      <c r="R20" s="123" t="str">
        <f>IF($E20=0,0,NSTonghop!S20)</f>
        <v>PTTH/91/Khá</v>
      </c>
      <c r="S20" s="123" t="str">
        <f>IF($E20=0,0,NSTonghop!T20)</f>
        <v>CĐ3/Văn/98/TB</v>
      </c>
      <c r="T20" s="123" t="str">
        <f>IF($E20=0,0,NSTonghop!U20)</f>
        <v>ĐHTX/Văn/05/TBK</v>
      </c>
      <c r="U20" s="123" t="str">
        <f>IF($E20=0,0,NSTonghop!V20)</f>
        <v>QLSREM/09</v>
      </c>
      <c r="V20" s="123" t="str">
        <f>IF($E20=0,0,NSTonghop!W20)</f>
        <v>ĐHTX</v>
      </c>
      <c r="W20" s="241" t="str">
        <f>IF($E20=0,0,NSTonghop!Z20)</f>
        <v>QLTHCS/05/Khá</v>
      </c>
      <c r="X20" s="241">
        <f>IF($E20=0,0,NSTonghop!AA20)</f>
        <v>0</v>
      </c>
      <c r="Y20" s="241" t="str">
        <f>IF($E20=0,0,NSTonghop!AB20)</f>
        <v>A/07/Giỏi</v>
      </c>
      <c r="Z20" s="241">
        <f>IF($E20=0,0,NSTonghop!AC20)</f>
        <v>0</v>
      </c>
      <c r="AA20" s="241" t="str">
        <f>IF($E20=0,0,NSTonghop!AD20)</f>
        <v>KĐCL/10</v>
      </c>
      <c r="AB20" s="241" t="str">
        <f>IF($E20=0,0,NSTonghop!AE20)</f>
        <v>NLQLTC/09</v>
      </c>
      <c r="AC20" s="241">
        <f>IF($E20=0,0,NSTonghop!AF20)</f>
        <v>0</v>
      </c>
      <c r="AD20" s="241" t="str">
        <f>IF($E20=0,0,NSTonghop!AH20)</f>
        <v>CC/08/Giỏi</v>
      </c>
      <c r="AE20" s="241">
        <f>IF($E20=0,0,NSTonghop!AJ20)</f>
        <v>351079520</v>
      </c>
      <c r="AF20" s="241" t="str">
        <f>IF($E20=0,0,NSTonghop!AK20)</f>
        <v>09/12/1979</v>
      </c>
      <c r="AG20" s="241" t="str">
        <f>IF($E20=0,0,NSTonghop!AL20)</f>
        <v>01/09/1998</v>
      </c>
      <c r="AH20" s="241" t="str">
        <f>IF($E20=0,0,NSTonghop!AO20)</f>
        <v>17/05/2003</v>
      </c>
      <c r="AI20" s="241" t="str">
        <f>IF($E20=0,0,NSTonghop!AP20)</f>
        <v>31.016 063</v>
      </c>
      <c r="AJ20" s="241">
        <f>IF($E20=0,0,NSTonghop!AQ20)</f>
        <v>2003</v>
      </c>
      <c r="AK20" s="241" t="str">
        <f>IF($E20=0,0,NSTonghop!AT20)</f>
        <v>0982224133</v>
      </c>
      <c r="AL20" s="212"/>
    </row>
    <row r="21" spans="1:38" s="118" customFormat="1" x14ac:dyDescent="0.25">
      <c r="A21" s="220"/>
      <c r="B21" s="128">
        <f>IF(E21=0,0,MAX($B$8:B20)+1)</f>
        <v>9</v>
      </c>
      <c r="C21" s="132">
        <f>IF(E21=0,0,MAX($C$20:C20)+1)</f>
        <v>2</v>
      </c>
      <c r="D21" s="128">
        <f>IF(NSTonghop!AO21="",0,NSTonghop!E21)</f>
        <v>0</v>
      </c>
      <c r="E21" s="128" t="str">
        <f>IF(NSTonghop!AO21="",0,NSTonghop!F21)</f>
        <v>Phạm Thị Thanh Loan</v>
      </c>
      <c r="F21" s="123" t="str">
        <f>IF($E21=0,0,NSTonghop!G21)</f>
        <v>x</v>
      </c>
      <c r="G21" s="123">
        <f>IF($E21=0,0,NSTonghop!H21)</f>
        <v>0</v>
      </c>
      <c r="H21" s="123" t="str">
        <f>IF($E21=0,0,NSTonghop!I21)</f>
        <v>10/11/1983</v>
      </c>
      <c r="I21" s="125">
        <f t="shared" si="0"/>
        <v>0</v>
      </c>
      <c r="J21" s="125">
        <f t="shared" si="1"/>
        <v>1983</v>
      </c>
      <c r="K21" s="123" t="str">
        <f>IF($E21=0,0,NSTonghop!L21)</f>
        <v>GV</v>
      </c>
      <c r="L21" s="123">
        <f>IF($E21=0,0,NSTonghop!M21)</f>
        <v>0</v>
      </c>
      <c r="M21" s="123" t="str">
        <f>IF($E21=0,0,NSTonghop!N21)</f>
        <v>Phật</v>
      </c>
      <c r="N21" s="123" t="str">
        <f>IF($E21=0,0,NSTonghop!O21)</f>
        <v>Nông dân</v>
      </c>
      <c r="O21" s="123" t="str">
        <f>IF($E21=0,0,NSTonghop!P21)</f>
        <v>Bình Mỹ-An Giang</v>
      </c>
      <c r="P21" s="123" t="str">
        <f>IF($E21=0,0,NSTonghop!Q21)</f>
        <v>Bình Mỹ-Châu Phú</v>
      </c>
      <c r="Q21" s="123" t="str">
        <f>IF($E21=0,0,NSTonghop!R21)</f>
        <v>Vĩnh Quới-VTT</v>
      </c>
      <c r="R21" s="123" t="str">
        <f>IF($E21=0,0,NSTonghop!S21)</f>
        <v>PTTH/01/TB</v>
      </c>
      <c r="S21" s="123" t="str">
        <f>IF($E21=0,0,NSTonghop!T21)</f>
        <v>CĐ3/Văn-Sử/05/Giỏi</v>
      </c>
      <c r="T21" s="123" t="str">
        <f>IF($E21=0,0,NSTonghop!U21)</f>
        <v>ĐHTX/Văn/10/TBK</v>
      </c>
      <c r="U21" s="123">
        <f>IF($E21=0,0,NSTonghop!V21)</f>
        <v>0</v>
      </c>
      <c r="V21" s="123" t="str">
        <f>IF($E21=0,0,NSTonghop!W21)</f>
        <v>ĐHTX</v>
      </c>
      <c r="W21" s="241">
        <f>IF($E21=0,0,NSTonghop!Z21)</f>
        <v>0</v>
      </c>
      <c r="X21" s="241" t="str">
        <f>IF($E21=0,0,NSTonghop!AA21)</f>
        <v>SC/16</v>
      </c>
      <c r="Y21" s="241" t="str">
        <f>IF($E21=0,0,NSTonghop!AB21)</f>
        <v>A/07/Giỏi</v>
      </c>
      <c r="Z21" s="241">
        <f>IF($E21=0,0,NSTonghop!AC21)</f>
        <v>0</v>
      </c>
      <c r="AA21" s="241">
        <f>IF($E21=0,0,NSTonghop!AD21)</f>
        <v>0</v>
      </c>
      <c r="AB21" s="241">
        <f>IF($E21=0,0,NSTonghop!AE21)</f>
        <v>0</v>
      </c>
      <c r="AC21" s="241">
        <f>IF($E21=0,0,NSTonghop!AF21)</f>
        <v>0</v>
      </c>
      <c r="AD21" s="241" t="str">
        <f>IF($E21=0,0,NSTonghop!AH21)</f>
        <v>CC/14/Giỏi</v>
      </c>
      <c r="AE21" s="241">
        <f>IF($E21=0,0,NSTonghop!AJ21)</f>
        <v>351577831</v>
      </c>
      <c r="AF21" s="241" t="str">
        <f>IF($E21=0,0,NSTonghop!AK21)</f>
        <v>16/08/2010</v>
      </c>
      <c r="AG21" s="241" t="str">
        <f>IF($E21=0,0,NSTonghop!AL21)</f>
        <v>01/09/2005</v>
      </c>
      <c r="AH21" s="241" t="str">
        <f>IF($E21=0,0,NSTonghop!AO21)</f>
        <v>04/07/2008</v>
      </c>
      <c r="AI21" s="241" t="str">
        <f>IF($E21=0,0,NSTonghop!AP21)</f>
        <v>31.038 051</v>
      </c>
      <c r="AJ21" s="241">
        <f>IF($E21=0,0,NSTonghop!AQ21)</f>
        <v>2008</v>
      </c>
      <c r="AK21" s="241" t="str">
        <f>IF($E21=0,0,NSTonghop!AT21)</f>
        <v>0398066414</v>
      </c>
      <c r="AL21" s="212"/>
    </row>
    <row r="22" spans="1:38" s="118" customFormat="1" x14ac:dyDescent="0.25">
      <c r="A22" s="220"/>
      <c r="B22" s="128">
        <f>IF(E22=0,0,MAX($B$8:B21)+1)</f>
        <v>10</v>
      </c>
      <c r="C22" s="132">
        <f>IF(E22=0,0,MAX($C$20:C21)+1)</f>
        <v>3</v>
      </c>
      <c r="D22" s="128">
        <f>IF(NSTonghop!AO22="",0,NSTonghop!E22)</f>
        <v>0</v>
      </c>
      <c r="E22" s="128" t="str">
        <f>IF(NSTonghop!AO22="",0,NSTonghop!F22)</f>
        <v>Huỳnh Thanh Sơn</v>
      </c>
      <c r="F22" s="123">
        <f>IF($E22=0,0,NSTonghop!G22)</f>
        <v>0</v>
      </c>
      <c r="G22" s="123" t="str">
        <f>IF($E22=0,0,NSTonghop!H22)</f>
        <v>12/04/1982</v>
      </c>
      <c r="H22" s="123">
        <f>IF($E22=0,0,NSTonghop!I22)</f>
        <v>0</v>
      </c>
      <c r="I22" s="125">
        <f t="shared" si="0"/>
        <v>1982</v>
      </c>
      <c r="J22" s="125">
        <f t="shared" si="1"/>
        <v>0</v>
      </c>
      <c r="K22" s="123" t="str">
        <f>IF($E22=0,0,NSTonghop!L22)</f>
        <v>GV</v>
      </c>
      <c r="L22" s="123">
        <f>IF($E22=0,0,NSTonghop!M22)</f>
        <v>0</v>
      </c>
      <c r="M22" s="123" t="str">
        <f>IF($E22=0,0,NSTonghop!N22)</f>
        <v>Phật</v>
      </c>
      <c r="N22" s="123" t="str">
        <f>IF($E22=0,0,NSTonghop!O22)</f>
        <v>Nông dân</v>
      </c>
      <c r="O22" s="123" t="str">
        <f>IF($E22=0,0,NSTonghop!P22)</f>
        <v>Bình Long-An Giang</v>
      </c>
      <c r="P22" s="123" t="str">
        <f>IF($E22=0,0,NSTonghop!Q22)</f>
        <v>Bình Long-Châu Phú</v>
      </c>
      <c r="Q22" s="123" t="str">
        <f>IF($E22=0,0,NSTonghop!R22)</f>
        <v>703/28 Chánh Hưng-Bình Long</v>
      </c>
      <c r="R22" s="123" t="str">
        <f>IF($E22=0,0,NSTonghop!S22)</f>
        <v>PTTH/00/TB</v>
      </c>
      <c r="S22" s="123" t="str">
        <f>IF($E22=0,0,NSTonghop!T22)</f>
        <v>ĐHCQ/Văn/04/TB</v>
      </c>
      <c r="T22" s="123">
        <f>IF($E22=0,0,NSTonghop!U22)</f>
        <v>0</v>
      </c>
      <c r="U22" s="123">
        <f>IF($E22=0,0,NSTonghop!V22)</f>
        <v>0</v>
      </c>
      <c r="V22" s="123" t="str">
        <f>IF($E22=0,0,NSTonghop!W22)</f>
        <v>ĐHCQ</v>
      </c>
      <c r="W22" s="241" t="str">
        <f>IF($E22=0,0,NSTonghop!Z22)</f>
        <v>QLPT/14/Khá</v>
      </c>
      <c r="X22" s="241" t="str">
        <f>IF($E22=0,0,NSTonghop!AA22)</f>
        <v>SC/14/Khá</v>
      </c>
      <c r="Y22" s="241" t="str">
        <f>IF($E22=0,0,NSTonghop!AB22)</f>
        <v>A/08/Giỏi</v>
      </c>
      <c r="Z22" s="241">
        <f>IF($E22=0,0,NSTonghop!AC22)</f>
        <v>0</v>
      </c>
      <c r="AA22" s="241">
        <f>IF($E22=0,0,NSTonghop!AD22)</f>
        <v>0</v>
      </c>
      <c r="AB22" s="241">
        <f>IF($E22=0,0,NSTonghop!AE22)</f>
        <v>0</v>
      </c>
      <c r="AC22" s="241" t="str">
        <f>IF($E22=0,0,NSTonghop!AF22)</f>
        <v>BTCB/12/TB</v>
      </c>
      <c r="AD22" s="241" t="str">
        <f>IF($E22=0,0,NSTonghop!AH22)</f>
        <v>CN/06/TB</v>
      </c>
      <c r="AE22" s="241">
        <f>IF($E22=0,0,NSTonghop!AJ22)</f>
        <v>351423247</v>
      </c>
      <c r="AF22" s="241" t="str">
        <f>IF($E22=0,0,NSTonghop!AK22)</f>
        <v>05/09/2007</v>
      </c>
      <c r="AG22" s="241" t="str">
        <f>IF($E22=0,0,NSTonghop!AL22)</f>
        <v>01/09/2005</v>
      </c>
      <c r="AH22" s="241" t="str">
        <f>IF($E22=0,0,NSTonghop!AO22)</f>
        <v>30/04/2008</v>
      </c>
      <c r="AI22" s="241" t="str">
        <f>IF($E22=0,0,NSTonghop!AP22)</f>
        <v>31.037 816</v>
      </c>
      <c r="AJ22" s="241">
        <f>IF($E22=0,0,NSTonghop!AQ22)</f>
        <v>2008</v>
      </c>
      <c r="AK22" s="241" t="str">
        <f>IF($E22=0,0,NSTonghop!AT22)</f>
        <v>0816789379</v>
      </c>
      <c r="AL22" s="212"/>
    </row>
    <row r="23" spans="1:38" s="118" customFormat="1" x14ac:dyDescent="0.25">
      <c r="A23" s="220"/>
      <c r="B23" s="128">
        <f>IF(E23=0,0,MAX($B$8:B22)+1)</f>
        <v>11</v>
      </c>
      <c r="C23" s="132">
        <f>IF(E23=0,0,MAX($C$20:C22)+1)</f>
        <v>4</v>
      </c>
      <c r="D23" s="128">
        <f>IF(NSTonghop!AO23="",0,NSTonghop!E23)</f>
        <v>0</v>
      </c>
      <c r="E23" s="128" t="str">
        <f>IF(NSTonghop!AO23="",0,NSTonghop!F23)</f>
        <v>Nguyễn Thị Phương</v>
      </c>
      <c r="F23" s="123" t="str">
        <f>IF($E23=0,0,NSTonghop!G23)</f>
        <v>x</v>
      </c>
      <c r="G23" s="123">
        <f>IF($E23=0,0,NSTonghop!H23)</f>
        <v>0</v>
      </c>
      <c r="H23" s="123" t="str">
        <f>IF($E23=0,0,NSTonghop!I23)</f>
        <v>15/07/1981</v>
      </c>
      <c r="I23" s="125">
        <f t="shared" si="0"/>
        <v>0</v>
      </c>
      <c r="J23" s="125">
        <f t="shared" si="1"/>
        <v>1981</v>
      </c>
      <c r="K23" s="123" t="str">
        <f>IF($E23=0,0,NSTonghop!L23)</f>
        <v>GV</v>
      </c>
      <c r="L23" s="123">
        <f>IF($E23=0,0,NSTonghop!M23)</f>
        <v>0</v>
      </c>
      <c r="M23" s="123" t="str">
        <f>IF($E23=0,0,NSTonghop!N23)</f>
        <v>Phật</v>
      </c>
      <c r="N23" s="123" t="str">
        <f>IF($E23=0,0,NSTonghop!O23)</f>
        <v>Nông dân</v>
      </c>
      <c r="O23" s="123" t="str">
        <f>IF($E23=0,0,NSTonghop!P23)</f>
        <v>Đào Hữu Cảnh-AG</v>
      </c>
      <c r="P23" s="123" t="str">
        <f>IF($E23=0,0,NSTonghop!Q23)</f>
        <v>Thạnh Mỹ Tây-Châu Phú</v>
      </c>
      <c r="Q23" s="123" t="str">
        <f>IF($E23=0,0,NSTonghop!R23)</f>
        <v>17 Vĩnh Hưng-VTT</v>
      </c>
      <c r="R23" s="123" t="str">
        <f>IF($E23=0,0,NSTonghop!S23)</f>
        <v>PTTH/02/TB</v>
      </c>
      <c r="S23" s="123" t="str">
        <f>IF($E23=0,0,NSTonghop!T23)</f>
        <v>CĐ3/Văn-GDCD/06/TBK</v>
      </c>
      <c r="T23" s="123" t="str">
        <f>IF($E23=0,0,NSTonghop!U23)</f>
        <v>ĐHTX/Văn/10/TBK</v>
      </c>
      <c r="U23" s="123">
        <f>IF($E23=0,0,NSTonghop!V23)</f>
        <v>0</v>
      </c>
      <c r="V23" s="123" t="str">
        <f>IF($E23=0,0,NSTonghop!W23)</f>
        <v>ĐHTX</v>
      </c>
      <c r="W23" s="241">
        <f>IF($E23=0,0,NSTonghop!Z23)</f>
        <v>0</v>
      </c>
      <c r="X23" s="241">
        <f>IF($E23=0,0,NSTonghop!AA23)</f>
        <v>0</v>
      </c>
      <c r="Y23" s="241" t="str">
        <f>IF($E23=0,0,NSTonghop!AB23)</f>
        <v>A/08/Khá</v>
      </c>
      <c r="Z23" s="241">
        <f>IF($E23=0,0,NSTonghop!AC23)</f>
        <v>0</v>
      </c>
      <c r="AA23" s="241">
        <f>IF($E23=0,0,NSTonghop!AD23)</f>
        <v>0</v>
      </c>
      <c r="AB23" s="241">
        <f>IF($E23=0,0,NSTonghop!AE23)</f>
        <v>0</v>
      </c>
      <c r="AC23" s="241">
        <f>IF($E23=0,0,NSTonghop!AF23)</f>
        <v>0</v>
      </c>
      <c r="AD23" s="241" t="str">
        <f>IF($E23=0,0,NSTonghop!AH23)</f>
        <v>CC/13/Khá</v>
      </c>
      <c r="AE23" s="241">
        <f>IF($E23=0,0,NSTonghop!AJ23)</f>
        <v>351436415</v>
      </c>
      <c r="AF23" s="241" t="str">
        <f>IF($E23=0,0,NSTonghop!AK23)</f>
        <v>26/09/2011</v>
      </c>
      <c r="AG23" s="241" t="str">
        <f>IF($E23=0,0,NSTonghop!AL23)</f>
        <v>01/09/2006</v>
      </c>
      <c r="AH23" s="241" t="str">
        <f>IF($E23=0,0,NSTonghop!AO23)</f>
        <v>23/12/2011</v>
      </c>
      <c r="AI23" s="241" t="str">
        <f>IF($E23=0,0,NSTonghop!AP23)</f>
        <v>31.049 661</v>
      </c>
      <c r="AJ23" s="241">
        <f>IF($E23=0,0,NSTonghop!AQ23)</f>
        <v>2011</v>
      </c>
      <c r="AK23" s="241" t="str">
        <f>IF($E23=0,0,NSTonghop!AT23)</f>
        <v>0967666805</v>
      </c>
      <c r="AL23" s="212"/>
    </row>
    <row r="24" spans="1:38" s="118" customFormat="1" x14ac:dyDescent="0.25">
      <c r="A24" s="220"/>
      <c r="B24" s="128">
        <f>IF(E24=0,0,MAX($B$8:B23)+1)</f>
        <v>12</v>
      </c>
      <c r="C24" s="132">
        <f>IF(E24=0,0,MAX($C$20:C23)+1)</f>
        <v>5</v>
      </c>
      <c r="D24" s="128">
        <f>IF(NSTonghop!AO24="",0,NSTonghop!E24)</f>
        <v>0</v>
      </c>
      <c r="E24" s="128" t="str">
        <f>IF(NSTonghop!AO24="",0,NSTonghop!F24)</f>
        <v>Thiều Thị Kim Tuyến</v>
      </c>
      <c r="F24" s="123" t="str">
        <f>IF($E24=0,0,NSTonghop!G24)</f>
        <v>x</v>
      </c>
      <c r="G24" s="123">
        <f>IF($E24=0,0,NSTonghop!H24)</f>
        <v>0</v>
      </c>
      <c r="H24" s="123" t="str">
        <f>IF($E24=0,0,NSTonghop!I24)</f>
        <v>04/09/1983</v>
      </c>
      <c r="I24" s="125">
        <f t="shared" si="0"/>
        <v>0</v>
      </c>
      <c r="J24" s="125">
        <f t="shared" si="1"/>
        <v>1983</v>
      </c>
      <c r="K24" s="123" t="str">
        <f>IF($E24=0,0,NSTonghop!L24)</f>
        <v>GV</v>
      </c>
      <c r="L24" s="123">
        <f>IF($E24=0,0,NSTonghop!M24)</f>
        <v>0</v>
      </c>
      <c r="M24" s="123" t="str">
        <f>IF($E24=0,0,NSTonghop!N24)</f>
        <v>x</v>
      </c>
      <c r="N24" s="123" t="str">
        <f>IF($E24=0,0,NSTonghop!O24)</f>
        <v>Trí thức</v>
      </c>
      <c r="O24" s="123" t="str">
        <f>IF($E24=0,0,NSTonghop!P24)</f>
        <v>Vĩnh Thạnh Trung-An Giang</v>
      </c>
      <c r="P24" s="123" t="str">
        <f>IF($E24=0,0,NSTonghop!Q24)</f>
        <v>Vĩnh Thạnh Trung-Châu Phú</v>
      </c>
      <c r="Q24" s="123" t="str">
        <f>IF($E24=0,0,NSTonghop!R24)</f>
        <v>95/3 Vĩnh Hưng-VTT</v>
      </c>
      <c r="R24" s="123" t="str">
        <f>IF($E24=0,0,NSTonghop!S24)</f>
        <v>PTTH/01/TB</v>
      </c>
      <c r="S24" s="123" t="str">
        <f>IF($E24=0,0,NSTonghop!T24)</f>
        <v>CĐ3/Văn-Sử/04/Giỏi</v>
      </c>
      <c r="T24" s="123" t="str">
        <f>IF($E24=0,0,NSTonghop!U24)</f>
        <v>ĐHTX/Văn/08/TBK</v>
      </c>
      <c r="U24" s="123">
        <f>IF($E24=0,0,NSTonghop!V24)</f>
        <v>0</v>
      </c>
      <c r="V24" s="123" t="str">
        <f>IF($E24=0,0,NSTonghop!W24)</f>
        <v>ĐHTX</v>
      </c>
      <c r="W24" s="241">
        <f>IF($E24=0,0,NSTonghop!Z24)</f>
        <v>0</v>
      </c>
      <c r="X24" s="241">
        <f>IF($E24=0,0,NSTonghop!AA24)</f>
        <v>0</v>
      </c>
      <c r="Y24" s="241" t="str">
        <f>IF($E24=0,0,NSTonghop!AB24)</f>
        <v>A/09/Khá</v>
      </c>
      <c r="Z24" s="241">
        <f>IF($E24=0,0,NSTonghop!AC24)</f>
        <v>0</v>
      </c>
      <c r="AA24" s="241">
        <f>IF($E24=0,0,NSTonghop!AD24)</f>
        <v>0</v>
      </c>
      <c r="AB24" s="241">
        <f>IF($E24=0,0,NSTonghop!AE24)</f>
        <v>0</v>
      </c>
      <c r="AC24" s="241">
        <f>IF($E24=0,0,NSTonghop!AF24)</f>
        <v>0</v>
      </c>
      <c r="AD24" s="241" t="str">
        <f>IF($E24=0,0,NSTonghop!AH24)</f>
        <v>CN/06/Khá</v>
      </c>
      <c r="AE24" s="241">
        <f>IF($E24=0,0,NSTonghop!AJ24)</f>
        <v>351466515</v>
      </c>
      <c r="AF24" s="241" t="str">
        <f>IF($E24=0,0,NSTonghop!AK24)</f>
        <v>04/09/2013</v>
      </c>
      <c r="AG24" s="241" t="str">
        <f>IF($E24=0,0,NSTonghop!AL24)</f>
        <v>01/09/2004</v>
      </c>
      <c r="AH24" s="241" t="str">
        <f>IF($E24=0,0,NSTonghop!AO24)</f>
        <v>19/05/2007</v>
      </c>
      <c r="AI24" s="241" t="str">
        <f>IF($E24=0,0,NSTonghop!AP24)</f>
        <v>31.035 124</v>
      </c>
      <c r="AJ24" s="241">
        <f>IF($E24=0,0,NSTonghop!AQ24)</f>
        <v>2007</v>
      </c>
      <c r="AK24" s="241" t="str">
        <f>IF($E24=0,0,NSTonghop!AT24)</f>
        <v>0397154797</v>
      </c>
      <c r="AL24" s="212"/>
    </row>
    <row r="25" spans="1:38" s="118" customFormat="1" hidden="1" x14ac:dyDescent="0.25">
      <c r="A25" s="220"/>
      <c r="B25" s="128">
        <f>IF(E25=0,0,MAX($B$8:B24)+1)</f>
        <v>0</v>
      </c>
      <c r="C25" s="132">
        <f>IF(E25=0,0,MAX($C$20:C24)+1)</f>
        <v>0</v>
      </c>
      <c r="D25" s="128">
        <f>IF(NSTonghop!AO25="",0,NSTonghop!E25)</f>
        <v>0</v>
      </c>
      <c r="E25" s="128">
        <f>IF(NSTonghop!AO25="",0,NSTonghop!F25)</f>
        <v>0</v>
      </c>
      <c r="F25" s="123">
        <f>IF($E25=0,0,NSTonghop!G25)</f>
        <v>0</v>
      </c>
      <c r="G25" s="123">
        <f>IF($E25=0,0,NSTonghop!H25)</f>
        <v>0</v>
      </c>
      <c r="H25" s="123">
        <f>IF($E25=0,0,NSTonghop!I25)</f>
        <v>0</v>
      </c>
      <c r="I25" s="125">
        <f t="shared" si="0"/>
        <v>0</v>
      </c>
      <c r="J25" s="125">
        <f t="shared" si="1"/>
        <v>0</v>
      </c>
      <c r="K25" s="123">
        <f>IF($E25=0,0,NSTonghop!L25)</f>
        <v>0</v>
      </c>
      <c r="L25" s="123">
        <f>IF($E25=0,0,NSTonghop!M25)</f>
        <v>0</v>
      </c>
      <c r="M25" s="123">
        <f>IF($E25=0,0,NSTonghop!N25)</f>
        <v>0</v>
      </c>
      <c r="N25" s="123">
        <f>IF($E25=0,0,NSTonghop!O25)</f>
        <v>0</v>
      </c>
      <c r="O25" s="123">
        <f>IF($E25=0,0,NSTonghop!P25)</f>
        <v>0</v>
      </c>
      <c r="P25" s="123">
        <f>IF($E25=0,0,NSTonghop!Q25)</f>
        <v>0</v>
      </c>
      <c r="Q25" s="123">
        <f>IF($E25=0,0,NSTonghop!R25)</f>
        <v>0</v>
      </c>
      <c r="R25" s="123">
        <f>IF($E25=0,0,NSTonghop!S25)</f>
        <v>0</v>
      </c>
      <c r="S25" s="123">
        <f>IF($E25=0,0,NSTonghop!T25)</f>
        <v>0</v>
      </c>
      <c r="T25" s="123">
        <f>IF($E25=0,0,NSTonghop!U25)</f>
        <v>0</v>
      </c>
      <c r="U25" s="123">
        <f>IF($E25=0,0,NSTonghop!V25)</f>
        <v>0</v>
      </c>
      <c r="V25" s="123">
        <f>IF($E25=0,0,NSTonghop!W25)</f>
        <v>0</v>
      </c>
      <c r="W25" s="241">
        <f>IF($E25=0,0,NSTonghop!Z25)</f>
        <v>0</v>
      </c>
      <c r="X25" s="241">
        <f>IF($E25=0,0,NSTonghop!AA25)</f>
        <v>0</v>
      </c>
      <c r="Y25" s="241">
        <f>IF($E25=0,0,NSTonghop!AB25)</f>
        <v>0</v>
      </c>
      <c r="Z25" s="241">
        <f>IF($E25=0,0,NSTonghop!AC25)</f>
        <v>0</v>
      </c>
      <c r="AA25" s="241">
        <f>IF($E25=0,0,NSTonghop!AD25)</f>
        <v>0</v>
      </c>
      <c r="AB25" s="241">
        <f>IF($E25=0,0,NSTonghop!AE25)</f>
        <v>0</v>
      </c>
      <c r="AC25" s="241">
        <f>IF($E25=0,0,NSTonghop!AF25)</f>
        <v>0</v>
      </c>
      <c r="AD25" s="241">
        <f>IF($E25=0,0,NSTonghop!AH25)</f>
        <v>0</v>
      </c>
      <c r="AE25" s="241">
        <f>IF($E25=0,0,NSTonghop!AJ25)</f>
        <v>0</v>
      </c>
      <c r="AF25" s="241">
        <f>IF($E25=0,0,NSTonghop!AK25)</f>
        <v>0</v>
      </c>
      <c r="AG25" s="241">
        <f>IF($E25=0,0,NSTonghop!AL25)</f>
        <v>0</v>
      </c>
      <c r="AH25" s="241">
        <f>IF($E25=0,0,NSTonghop!AO25)</f>
        <v>0</v>
      </c>
      <c r="AI25" s="241">
        <f>IF($E25=0,0,NSTonghop!AP25)</f>
        <v>0</v>
      </c>
      <c r="AJ25" s="241">
        <f>IF($E25=0,0,NSTonghop!AQ25)</f>
        <v>0</v>
      </c>
      <c r="AK25" s="241">
        <f>IF($E25=0,0,NSTonghop!AT25)</f>
        <v>0</v>
      </c>
      <c r="AL25" s="212"/>
    </row>
    <row r="26" spans="1:38" s="118" customFormat="1" x14ac:dyDescent="0.25">
      <c r="A26" s="220"/>
      <c r="B26" s="128">
        <f>IF(E26=0,0,MAX($B$8:B25)+1)</f>
        <v>13</v>
      </c>
      <c r="C26" s="132">
        <f>IF(E26=0,0,MAX($C$20:C25)+1)</f>
        <v>6</v>
      </c>
      <c r="D26" s="128">
        <f>IF(NSTonghop!AO26="",0,NSTonghop!E26)</f>
        <v>0</v>
      </c>
      <c r="E26" s="128" t="str">
        <f>IF(NSTonghop!AO26="",0,NSTonghop!F26)</f>
        <v>Nguyễn Văn Hội</v>
      </c>
      <c r="F26" s="123">
        <f>IF($E26=0,0,NSTonghop!G26)</f>
        <v>0</v>
      </c>
      <c r="G26" s="123" t="str">
        <f>IF($E26=0,0,NSTonghop!H26)</f>
        <v>15/01/1965</v>
      </c>
      <c r="H26" s="123">
        <f>IF($E26=0,0,NSTonghop!I26)</f>
        <v>0</v>
      </c>
      <c r="I26" s="125">
        <f t="shared" si="0"/>
        <v>1965</v>
      </c>
      <c r="J26" s="125">
        <f t="shared" si="1"/>
        <v>0</v>
      </c>
      <c r="K26" s="123" t="str">
        <f>IF($E26=0,0,NSTonghop!L26)</f>
        <v>GV</v>
      </c>
      <c r="L26" s="123">
        <f>IF($E26=0,0,NSTonghop!M26)</f>
        <v>0</v>
      </c>
      <c r="M26" s="123" t="str">
        <f>IF($E26=0,0,NSTonghop!N26)</f>
        <v>Hòa Hảo</v>
      </c>
      <c r="N26" s="123" t="str">
        <f>IF($E26=0,0,NSTonghop!O26)</f>
        <v>Nông dân</v>
      </c>
      <c r="O26" s="123" t="str">
        <f>IF($E26=0,0,NSTonghop!P26)</f>
        <v>Khánh Hòa-AG</v>
      </c>
      <c r="P26" s="123" t="str">
        <f>IF($E26=0,0,NSTonghop!Q26)</f>
        <v>Khánh Hòa-Châu Phú</v>
      </c>
      <c r="Q26" s="123" t="str">
        <f>IF($E26=0,0,NSTonghop!R26)</f>
        <v>34-Phạm Ngũ Lão, Bình Hòa, Cái Dầu</v>
      </c>
      <c r="R26" s="123" t="str">
        <f>IF($E26=0,0,NSTonghop!S26)</f>
        <v>BTTH/85/-</v>
      </c>
      <c r="S26" s="123" t="str">
        <f>IF($E26=0,0,NSTonghop!T26)</f>
        <v>?</v>
      </c>
      <c r="T26" s="123" t="str">
        <f>IF($E26=0,0,NSTonghop!U26)</f>
        <v>ĐHTC/Văn/92/-</v>
      </c>
      <c r="U26" s="123">
        <f>IF($E26=0,0,NSTonghop!V26)</f>
        <v>0</v>
      </c>
      <c r="V26" s="123" t="str">
        <f>IF($E26=0,0,NSTonghop!W26)</f>
        <v>ĐHTC</v>
      </c>
      <c r="W26" s="241">
        <f>IF($E26=0,0,NSTonghop!Z26)</f>
        <v>0</v>
      </c>
      <c r="X26" s="241" t="str">
        <f>IF($E26=0,0,NSTonghop!AA26)</f>
        <v>TC/04/TB</v>
      </c>
      <c r="Y26" s="241" t="str">
        <f>IF($E26=0,0,NSTonghop!AB26)</f>
        <v>A/07/Khá</v>
      </c>
      <c r="Z26" s="241" t="str">
        <f>IF($E26=0,0,NSTonghop!AC26)</f>
        <v>B/Anh/16/TB</v>
      </c>
      <c r="AA26" s="241">
        <f>IF($E26=0,0,NSTonghop!AD26)</f>
        <v>0</v>
      </c>
      <c r="AB26" s="241">
        <f>IF($E26=0,0,NSTonghop!AE26)</f>
        <v>0</v>
      </c>
      <c r="AC26" s="241">
        <f>IF($E26=0,0,NSTonghop!AF26)</f>
        <v>0</v>
      </c>
      <c r="AD26" s="241" t="str">
        <f>IF($E26=0,0,NSTonghop!AH26)</f>
        <v>CC4/13/Khá</v>
      </c>
      <c r="AE26" s="241">
        <f>IF($E26=0,0,NSTonghop!AJ26)</f>
        <v>351232585</v>
      </c>
      <c r="AF26" s="241" t="str">
        <f>IF($E26=0,0,NSTonghop!AK26)</f>
        <v>26/12/2013</v>
      </c>
      <c r="AG26" s="241" t="str">
        <f>IF($E26=0,0,NSTonghop!AL26)</f>
        <v>17/10/1984</v>
      </c>
      <c r="AH26" s="241" t="str">
        <f>IF($E26=0,0,NSTonghop!AO26)</f>
        <v>23/01/1997</v>
      </c>
      <c r="AI26" s="241" t="str">
        <f>IF($E26=0,0,NSTonghop!AP26)</f>
        <v>31.015 010</v>
      </c>
      <c r="AJ26" s="241">
        <f>IF($E26=0,0,NSTonghop!AQ26)</f>
        <v>1997</v>
      </c>
      <c r="AK26" s="241" t="str">
        <f>IF($E26=0,0,NSTonghop!AT26)</f>
        <v>0974230187</v>
      </c>
      <c r="AL26" s="212"/>
    </row>
    <row r="27" spans="1:38" s="118" customFormat="1" hidden="1" x14ac:dyDescent="0.25">
      <c r="A27" s="220"/>
      <c r="B27" s="128">
        <f>IF(E27=0,0,MAX($B$8:B26)+1)</f>
        <v>0</v>
      </c>
      <c r="C27" s="132">
        <f>IF(E27=0,0,MAX($C$20:C26)+1)</f>
        <v>0</v>
      </c>
      <c r="D27" s="128">
        <f>IF(NSTonghop!AO27="",0,NSTonghop!E27)</f>
        <v>0</v>
      </c>
      <c r="E27" s="128">
        <f>IF(NSTonghop!AO27="",0,NSTonghop!F27)</f>
        <v>0</v>
      </c>
      <c r="F27" s="123">
        <f>IF($E27=0,0,NSTonghop!G27)</f>
        <v>0</v>
      </c>
      <c r="G27" s="123">
        <f>IF($E27=0,0,NSTonghop!H27)</f>
        <v>0</v>
      </c>
      <c r="H27" s="123">
        <f>IF($E27=0,0,NSTonghop!I27)</f>
        <v>0</v>
      </c>
      <c r="I27" s="125">
        <f t="shared" si="0"/>
        <v>0</v>
      </c>
      <c r="J27" s="125">
        <f t="shared" si="1"/>
        <v>0</v>
      </c>
      <c r="K27" s="123">
        <f>IF($E27=0,0,NSTonghop!L27)</f>
        <v>0</v>
      </c>
      <c r="L27" s="123">
        <f>IF($E27=0,0,NSTonghop!M27)</f>
        <v>0</v>
      </c>
      <c r="M27" s="123">
        <f>IF($E27=0,0,NSTonghop!N27)</f>
        <v>0</v>
      </c>
      <c r="N27" s="123">
        <f>IF($E27=0,0,NSTonghop!O27)</f>
        <v>0</v>
      </c>
      <c r="O27" s="123">
        <f>IF($E27=0,0,NSTonghop!P27)</f>
        <v>0</v>
      </c>
      <c r="P27" s="123">
        <f>IF($E27=0,0,NSTonghop!Q27)</f>
        <v>0</v>
      </c>
      <c r="Q27" s="123">
        <f>IF($E27=0,0,NSTonghop!R27)</f>
        <v>0</v>
      </c>
      <c r="R27" s="123">
        <f>IF($E27=0,0,NSTonghop!S27)</f>
        <v>0</v>
      </c>
      <c r="S27" s="123">
        <f>IF($E27=0,0,NSTonghop!T27)</f>
        <v>0</v>
      </c>
      <c r="T27" s="123">
        <f>IF($E27=0,0,NSTonghop!U27)</f>
        <v>0</v>
      </c>
      <c r="U27" s="123">
        <f>IF($E27=0,0,NSTonghop!V27)</f>
        <v>0</v>
      </c>
      <c r="V27" s="123">
        <f>IF($E27=0,0,NSTonghop!W27)</f>
        <v>0</v>
      </c>
      <c r="W27" s="241">
        <f>IF($E27=0,0,NSTonghop!Z27)</f>
        <v>0</v>
      </c>
      <c r="X27" s="241">
        <f>IF($E27=0,0,NSTonghop!AA27)</f>
        <v>0</v>
      </c>
      <c r="Y27" s="241">
        <f>IF($E27=0,0,NSTonghop!AB27)</f>
        <v>0</v>
      </c>
      <c r="Z27" s="241">
        <f>IF($E27=0,0,NSTonghop!AC27)</f>
        <v>0</v>
      </c>
      <c r="AA27" s="241">
        <f>IF($E27=0,0,NSTonghop!AD27)</f>
        <v>0</v>
      </c>
      <c r="AB27" s="241">
        <f>IF($E27=0,0,NSTonghop!AE27)</f>
        <v>0</v>
      </c>
      <c r="AC27" s="241">
        <f>IF($E27=0,0,NSTonghop!AF27)</f>
        <v>0</v>
      </c>
      <c r="AD27" s="241">
        <f>IF($E27=0,0,NSTonghop!AH27)</f>
        <v>0</v>
      </c>
      <c r="AE27" s="241">
        <f>IF($E27=0,0,NSTonghop!AJ27)</f>
        <v>0</v>
      </c>
      <c r="AF27" s="241">
        <f>IF($E27=0,0,NSTonghop!AK27)</f>
        <v>0</v>
      </c>
      <c r="AG27" s="241">
        <f>IF($E27=0,0,NSTonghop!AL27)</f>
        <v>0</v>
      </c>
      <c r="AH27" s="241">
        <f>IF($E27=0,0,NSTonghop!AO27)</f>
        <v>0</v>
      </c>
      <c r="AI27" s="241">
        <f>IF($E27=0,0,NSTonghop!AP27)</f>
        <v>0</v>
      </c>
      <c r="AJ27" s="241">
        <f>IF($E27=0,0,NSTonghop!AQ27)</f>
        <v>0</v>
      </c>
      <c r="AK27" s="241">
        <f>IF($E27=0,0,NSTonghop!AT27)</f>
        <v>0</v>
      </c>
      <c r="AL27" s="212"/>
    </row>
    <row r="28" spans="1:38" s="118" customFormat="1" x14ac:dyDescent="0.25">
      <c r="A28" s="220"/>
      <c r="B28" s="128">
        <f>IF(E28=0,0,MAX($B$8:B27)+1)</f>
        <v>14</v>
      </c>
      <c r="C28" s="132">
        <f>IF(E28=0,0,MAX($C$20:C27)+1)</f>
        <v>7</v>
      </c>
      <c r="D28" s="128">
        <f>IF(NSTonghop!AO28="",0,NSTonghop!E28)</f>
        <v>0</v>
      </c>
      <c r="E28" s="128" t="str">
        <f>IF(NSTonghop!AO28="",0,NSTonghop!F28)</f>
        <v>Nguyễn Thị Kim Nghe</v>
      </c>
      <c r="F28" s="123" t="str">
        <f>IF($E28=0,0,NSTonghop!G28)</f>
        <v>x</v>
      </c>
      <c r="G28" s="123">
        <f>IF($E28=0,0,NSTonghop!H28)</f>
        <v>0</v>
      </c>
      <c r="H28" s="123" t="str">
        <f>IF($E28=0,0,NSTonghop!I28)</f>
        <v>19/05/1969</v>
      </c>
      <c r="I28" s="125">
        <f t="shared" si="0"/>
        <v>0</v>
      </c>
      <c r="J28" s="125">
        <f t="shared" si="1"/>
        <v>1969</v>
      </c>
      <c r="K28" s="123" t="str">
        <f>IF($E28=0,0,NSTonghop!L28)</f>
        <v>GV</v>
      </c>
      <c r="L28" s="123">
        <f>IF($E28=0,0,NSTonghop!M28)</f>
        <v>0</v>
      </c>
      <c r="M28" s="123" t="str">
        <f>IF($E28=0,0,NSTonghop!N28)</f>
        <v>Hòa Hảo</v>
      </c>
      <c r="N28" s="123" t="str">
        <f>IF($E28=0,0,NSTonghop!O28)</f>
        <v>Nông dân</v>
      </c>
      <c r="O28" s="123" t="str">
        <f>IF($E28=0,0,NSTonghop!P28)</f>
        <v>Bình Mỹ-An Giang</v>
      </c>
      <c r="P28" s="123" t="str">
        <f>IF($E28=0,0,NSTonghop!Q28)</f>
        <v>Bình Long-Châu Phú</v>
      </c>
      <c r="Q28" s="123" t="str">
        <f>IF($E28=0,0,NSTonghop!R28)</f>
        <v>665/19 Bình Hưng I-Bình Mỹ</v>
      </c>
      <c r="R28" s="123" t="str">
        <f>IF($E28=0,0,NSTonghop!S28)</f>
        <v>PTTH/86/TB</v>
      </c>
      <c r="S28" s="123" t="str">
        <f>IF($E28=0,0,NSTonghop!T28)</f>
        <v>CĐ2/Văn-KTPT/89/TB</v>
      </c>
      <c r="T28" s="123" t="str">
        <f>IF($E28=0,0,NSTonghop!U28)</f>
        <v>ĐHTX/Văn/02/TB</v>
      </c>
      <c r="U28" s="123" t="str">
        <f>IF($E28=0,0,NSTonghop!V28)</f>
        <v>KTPV/05/Khá</v>
      </c>
      <c r="V28" s="123" t="str">
        <f>IF($E28=0,0,NSTonghop!W28)</f>
        <v>ĐHTX</v>
      </c>
      <c r="W28" s="241">
        <f>IF($E28=0,0,NSTonghop!Z28)</f>
        <v>0</v>
      </c>
      <c r="X28" s="241">
        <f>IF($E28=0,0,NSTonghop!AA28)</f>
        <v>0</v>
      </c>
      <c r="Y28" s="241" t="str">
        <f>IF($E28=0,0,NSTonghop!AB28)</f>
        <v>A/07/Khá</v>
      </c>
      <c r="Z28" s="241">
        <f>IF($E28=0,0,NSTonghop!AC28)</f>
        <v>0</v>
      </c>
      <c r="AA28" s="241">
        <f>IF($E28=0,0,NSTonghop!AD28)</f>
        <v>0</v>
      </c>
      <c r="AB28" s="241">
        <f>IF($E28=0,0,NSTonghop!AE28)</f>
        <v>0</v>
      </c>
      <c r="AC28" s="241">
        <f>IF($E28=0,0,NSTonghop!AF28)</f>
        <v>0</v>
      </c>
      <c r="AD28" s="241" t="str">
        <f>IF($E28=0,0,NSTonghop!AH28)</f>
        <v>CN/10/Khá</v>
      </c>
      <c r="AE28" s="241">
        <f>IF($E28=0,0,NSTonghop!AJ28)</f>
        <v>350828493</v>
      </c>
      <c r="AF28" s="241" t="str">
        <f>IF($E28=0,0,NSTonghop!AK28)</f>
        <v>20/10/2016</v>
      </c>
      <c r="AG28" s="241" t="str">
        <f>IF($E28=0,0,NSTonghop!AL28)</f>
        <v>01/09/1988</v>
      </c>
      <c r="AH28" s="241" t="str">
        <f>IF($E28=0,0,NSTonghop!AO28)</f>
        <v>24/07/2007</v>
      </c>
      <c r="AI28" s="241" t="str">
        <f>IF($E28=0,0,NSTonghop!AP28)</f>
        <v>31.035 132</v>
      </c>
      <c r="AJ28" s="241">
        <f>IF($E28=0,0,NSTonghop!AQ28)</f>
        <v>2007</v>
      </c>
      <c r="AK28" s="241" t="str">
        <f>IF($E28=0,0,NSTonghop!AT28)</f>
        <v>0367667670</v>
      </c>
      <c r="AL28" s="212"/>
    </row>
    <row r="29" spans="1:38" s="118" customFormat="1" x14ac:dyDescent="0.25">
      <c r="A29" s="220"/>
      <c r="B29" s="128">
        <f>IF(E29=0,0,MAX($B$8:B28)+1)</f>
        <v>15</v>
      </c>
      <c r="C29" s="132">
        <f>IF(E29=0,0,MAX($C$20:C28)+1)</f>
        <v>8</v>
      </c>
      <c r="D29" s="128" t="str">
        <f>IF(NSTonghop!AO29="",0,NSTonghop!E29)</f>
        <v>Nghỉ việc 5/20</v>
      </c>
      <c r="E29" s="128" t="str">
        <f>IF(NSTonghop!AO29="",0,NSTonghop!F29)</f>
        <v>Trần Thị Hiên</v>
      </c>
      <c r="F29" s="123" t="str">
        <f>IF($E29=0,0,NSTonghop!G29)</f>
        <v>x</v>
      </c>
      <c r="G29" s="123">
        <f>IF($E29=0,0,NSTonghop!H29)</f>
        <v>0</v>
      </c>
      <c r="H29" s="123" t="str">
        <f>IF($E29=0,0,NSTonghop!I29)</f>
        <v>15/09/1968</v>
      </c>
      <c r="I29" s="125">
        <f t="shared" si="0"/>
        <v>0</v>
      </c>
      <c r="J29" s="125">
        <f t="shared" si="1"/>
        <v>1968</v>
      </c>
      <c r="K29" s="123" t="str">
        <f>IF($E29=0,0,NSTonghop!L29)</f>
        <v>GV</v>
      </c>
      <c r="L29" s="123">
        <f>IF($E29=0,0,NSTonghop!M29)</f>
        <v>0</v>
      </c>
      <c r="M29" s="123" t="str">
        <f>IF($E29=0,0,NSTonghop!N29)</f>
        <v>x</v>
      </c>
      <c r="N29" s="123" t="str">
        <f>IF($E29=0,0,NSTonghop!O29)</f>
        <v>Bần nông</v>
      </c>
      <c r="O29" s="123" t="str">
        <f>IF($E29=0,0,NSTonghop!P29)</f>
        <v>Thanh An-Nghệ An</v>
      </c>
      <c r="P29" s="123" t="str">
        <f>IF($E29=0,0,NSTonghop!Q29)</f>
        <v>Thanh An-Thanh Chương-Nghệ An</v>
      </c>
      <c r="Q29" s="123" t="str">
        <f>IF($E29=0,0,NSTonghop!R29)</f>
        <v>566/2 Vĩnh Lộc-Cái Dầu</v>
      </c>
      <c r="R29" s="123" t="str">
        <f>IF($E29=0,0,NSTonghop!S29)</f>
        <v>PTTH/85/TB</v>
      </c>
      <c r="S29" s="123" t="str">
        <f>IF($E29=0,0,NSTonghop!T29)</f>
        <v>CĐ3/Văn-KTPT/89/TB</v>
      </c>
      <c r="T29" s="123" t="str">
        <f>IF($E29=0,0,NSTonghop!U29)</f>
        <v>ĐHTX/Văn/02/TB</v>
      </c>
      <c r="U29" s="123">
        <f>IF($E29=0,0,NSTonghop!V29)</f>
        <v>0</v>
      </c>
      <c r="V29" s="123" t="str">
        <f>IF($E29=0,0,NSTonghop!W29)</f>
        <v>ĐHTX</v>
      </c>
      <c r="W29" s="241">
        <f>IF($E29=0,0,NSTonghop!Z29)</f>
        <v>0</v>
      </c>
      <c r="X29" s="241">
        <f>IF($E29=0,0,NSTonghop!AA29)</f>
        <v>0</v>
      </c>
      <c r="Y29" s="241" t="str">
        <f>IF($E29=0,0,NSTonghop!AB29)</f>
        <v>A/07/Khá</v>
      </c>
      <c r="Z29" s="241">
        <f>IF($E29=0,0,NSTonghop!AC29)</f>
        <v>0</v>
      </c>
      <c r="AA29" s="241">
        <f>IF($E29=0,0,NSTonghop!AD29)</f>
        <v>0</v>
      </c>
      <c r="AB29" s="241">
        <f>IF($E29=0,0,NSTonghop!AE29)</f>
        <v>0</v>
      </c>
      <c r="AC29" s="241">
        <f>IF($E29=0,0,NSTonghop!AF29)</f>
        <v>0</v>
      </c>
      <c r="AD29" s="241" t="str">
        <f>IF($E29=0,0,NSTonghop!AH29)</f>
        <v>CN/10/Khá</v>
      </c>
      <c r="AE29" s="241">
        <f>IF($E29=0,0,NSTonghop!AJ29)</f>
        <v>352063886</v>
      </c>
      <c r="AF29" s="241" t="str">
        <f>IF($E29=0,0,NSTonghop!AK29)</f>
        <v>25/05/2007</v>
      </c>
      <c r="AG29" s="241" t="str">
        <f>IF($E29=0,0,NSTonghop!AL29)</f>
        <v>01/09/1989</v>
      </c>
      <c r="AH29" s="241" t="str">
        <f>IF($E29=0,0,NSTonghop!AO29)</f>
        <v>09/07/2005</v>
      </c>
      <c r="AI29" s="241" t="str">
        <f>IF($E29=0,0,NSTonghop!AP29)</f>
        <v>31.031 046</v>
      </c>
      <c r="AJ29" s="241">
        <f>IF($E29=0,0,NSTonghop!AQ29)</f>
        <v>2005</v>
      </c>
      <c r="AK29" s="241" t="str">
        <f>IF($E29=0,0,NSTonghop!AT29)</f>
        <v>0919564211</v>
      </c>
      <c r="AL29" s="212"/>
    </row>
    <row r="30" spans="1:38" s="118" customFormat="1" x14ac:dyDescent="0.25">
      <c r="A30" s="220"/>
      <c r="B30" s="128">
        <f>IF(E30=0,0,MAX($B$8:B29)+1)</f>
        <v>16</v>
      </c>
      <c r="C30" s="132">
        <f>IF(E30=0,0,MAX($C$20:C29)+1)</f>
        <v>9</v>
      </c>
      <c r="D30" s="128">
        <f>IF(NSTonghop!AO30="",0,NSTonghop!E30)</f>
        <v>0</v>
      </c>
      <c r="E30" s="128" t="str">
        <f>IF(NSTonghop!AO30="",0,NSTonghop!F30)</f>
        <v>Trần Khắc Cường</v>
      </c>
      <c r="F30" s="123">
        <f>IF($E30=0,0,NSTonghop!G30)</f>
        <v>0</v>
      </c>
      <c r="G30" s="123" t="str">
        <f>IF($E30=0,0,NSTonghop!H30)</f>
        <v>25/12/1960</v>
      </c>
      <c r="H30" s="123">
        <f>IF($E30=0,0,NSTonghop!I30)</f>
        <v>0</v>
      </c>
      <c r="I30" s="125">
        <f t="shared" si="0"/>
        <v>1960</v>
      </c>
      <c r="J30" s="125">
        <f t="shared" si="1"/>
        <v>0</v>
      </c>
      <c r="K30" s="123" t="str">
        <f>IF($E30=0,0,NSTonghop!L30)</f>
        <v>GV</v>
      </c>
      <c r="L30" s="123">
        <f>IF($E30=0,0,NSTonghop!M30)</f>
        <v>0</v>
      </c>
      <c r="M30" s="123" t="str">
        <f>IF($E30=0,0,NSTonghop!N30)</f>
        <v>Phật</v>
      </c>
      <c r="N30" s="123" t="str">
        <f>IF($E30=0,0,NSTonghop!O30)</f>
        <v>Tiểu thương</v>
      </c>
      <c r="O30" s="123" t="str">
        <f>IF($E30=0,0,NSTonghop!P30)</f>
        <v>An Phú-Tịnh Biên</v>
      </c>
      <c r="P30" s="123" t="str">
        <f>IF($E30=0,0,NSTonghop!Q30)</f>
        <v>An Phú-Tịnh Biên</v>
      </c>
      <c r="Q30" s="123" t="str">
        <f>IF($E30=0,0,NSTonghop!R30)</f>
        <v>251/1 Vĩnh Lộc-Cái Dầu</v>
      </c>
      <c r="R30" s="123" t="str">
        <f>IF($E30=0,0,NSTonghop!S30)</f>
        <v>BTTH/03/TB</v>
      </c>
      <c r="S30" s="123" t="str">
        <f>IF($E30=0,0,NSTonghop!T30)</f>
        <v>THSP3/80</v>
      </c>
      <c r="T30" s="123" t="str">
        <f>IF($E30=0,0,NSTonghop!U30)</f>
        <v>CĐ2/Văn-KTPT/83/TB</v>
      </c>
      <c r="U30" s="123" t="str">
        <f>IF($E30=0,0,NSTonghop!V30)</f>
        <v>CĐCT/Văn/96/TB</v>
      </c>
      <c r="V30" s="123" t="str">
        <f>IF($E30=0,0,NSTonghop!W30)</f>
        <v>ĐHTX</v>
      </c>
      <c r="W30" s="241" t="str">
        <f>IF($E30=0,0,NSTonghop!Z30)</f>
        <v>ĐHTX/Văn/00/TB</v>
      </c>
      <c r="X30" s="241">
        <f>IF($E30=0,0,NSTonghop!AA30)</f>
        <v>0</v>
      </c>
      <c r="Y30" s="241" t="str">
        <f>IF($E30=0,0,NSTonghop!AB30)</f>
        <v>A/04/Khá</v>
      </c>
      <c r="Z30" s="241">
        <f>IF($E30=0,0,NSTonghop!AC30)</f>
        <v>0</v>
      </c>
      <c r="AA30" s="241">
        <f>IF($E30=0,0,NSTonghop!AD30)</f>
        <v>0</v>
      </c>
      <c r="AB30" s="241">
        <f>IF($E30=0,0,NSTonghop!AE30)</f>
        <v>0</v>
      </c>
      <c r="AC30" s="241">
        <f>IF($E30=0,0,NSTonghop!AF30)</f>
        <v>0</v>
      </c>
      <c r="AD30" s="241" t="str">
        <f>IF($E30=0,0,NSTonghop!AH30)</f>
        <v>CN/15/Khá</v>
      </c>
      <c r="AE30" s="241">
        <f>IF($E30=0,0,NSTonghop!AJ30)</f>
        <v>350610513</v>
      </c>
      <c r="AF30" s="241" t="str">
        <f>IF($E30=0,0,NSTonghop!AK30)</f>
        <v>26/07/2013</v>
      </c>
      <c r="AG30" s="241" t="str">
        <f>IF($E30=0,0,NSTonghop!AL30)</f>
        <v>01/09/1980</v>
      </c>
      <c r="AH30" s="241" t="str">
        <f>IF($E30=0,0,NSTonghop!AO30)</f>
        <v>25/09/2010</v>
      </c>
      <c r="AI30" s="241" t="str">
        <f>IF($E30=0,0,NSTonghop!AP30)</f>
        <v>31.045 196</v>
      </c>
      <c r="AJ30" s="241">
        <f>IF($E30=0,0,NSTonghop!AQ30)</f>
        <v>2010</v>
      </c>
      <c r="AK30" s="241" t="str">
        <f>IF($E30=0,0,NSTonghop!AT30)</f>
        <v>0 766882827</v>
      </c>
      <c r="AL30" s="212"/>
    </row>
    <row r="31" spans="1:38" s="118" customFormat="1" x14ac:dyDescent="0.25">
      <c r="A31" s="220"/>
      <c r="B31" s="128">
        <f>IF(E31=0,0,MAX($B$8:B30)+1)</f>
        <v>17</v>
      </c>
      <c r="C31" s="132">
        <f>IF(E31=0,0,MAX($C$20:C30)+1)</f>
        <v>10</v>
      </c>
      <c r="D31" s="128">
        <f>IF(NSTonghop!AO31="",0,NSTonghop!E31)</f>
        <v>0</v>
      </c>
      <c r="E31" s="128" t="str">
        <f>IF(NSTonghop!AO31="",0,NSTonghop!F31)</f>
        <v>Phạm Thị Ba</v>
      </c>
      <c r="F31" s="123" t="str">
        <f>IF($E31=0,0,NSTonghop!G31)</f>
        <v>x</v>
      </c>
      <c r="G31" s="123">
        <f>IF($E31=0,0,NSTonghop!H31)</f>
        <v>0</v>
      </c>
      <c r="H31" s="123" t="str">
        <f>IF($E31=0,0,NSTonghop!I31)</f>
        <v>27/06/1965</v>
      </c>
      <c r="I31" s="125">
        <f t="shared" si="0"/>
        <v>0</v>
      </c>
      <c r="J31" s="125">
        <f t="shared" si="1"/>
        <v>1965</v>
      </c>
      <c r="K31" s="123" t="str">
        <f>IF($E31=0,0,NSTonghop!L31)</f>
        <v>GV</v>
      </c>
      <c r="L31" s="123">
        <f>IF($E31=0,0,NSTonghop!M31)</f>
        <v>0</v>
      </c>
      <c r="M31" s="123" t="str">
        <f>IF($E31=0,0,NSTonghop!N31)</f>
        <v>Phật</v>
      </c>
      <c r="N31" s="123" t="str">
        <f>IF($E31=0,0,NSTonghop!O31)</f>
        <v>Nông dân</v>
      </c>
      <c r="O31" s="123" t="str">
        <f>IF($E31=0,0,NSTonghop!P31)</f>
        <v>Vĩnh Xương-An Giang</v>
      </c>
      <c r="P31" s="123" t="str">
        <f>IF($E31=0,0,NSTonghop!Q31)</f>
        <v>Long An-Tân Châu</v>
      </c>
      <c r="Q31" s="123" t="str">
        <f>IF($E31=0,0,NSTonghop!R31)</f>
        <v>203/7 Vĩnh Phú-VTT</v>
      </c>
      <c r="R31" s="123" t="str">
        <f>IF($E31=0,0,NSTonghop!S31)</f>
        <v>PTTH/84/TB</v>
      </c>
      <c r="S31" s="123" t="str">
        <f>IF($E31=0,0,NSTonghop!T31)</f>
        <v>CĐ3/Văn-KTPT/88/TB</v>
      </c>
      <c r="T31" s="123" t="str">
        <f>IF($E31=0,0,NSTonghop!U31)</f>
        <v>ĐHTX/Văn/04/TBK</v>
      </c>
      <c r="U31" s="123">
        <f>IF($E31=0,0,NSTonghop!V31)</f>
        <v>0</v>
      </c>
      <c r="V31" s="123" t="str">
        <f>IF($E31=0,0,NSTonghop!W31)</f>
        <v>ĐHTX</v>
      </c>
      <c r="W31" s="241">
        <f>IF($E31=0,0,NSTonghop!Z31)</f>
        <v>0</v>
      </c>
      <c r="X31" s="241">
        <f>IF($E31=0,0,NSTonghop!AA31)</f>
        <v>0</v>
      </c>
      <c r="Y31" s="241" t="str">
        <f>IF($E31=0,0,NSTonghop!AB31)</f>
        <v>A/08/Giỏi</v>
      </c>
      <c r="Z31" s="241">
        <f>IF($E31=0,0,NSTonghop!AC31)</f>
        <v>0</v>
      </c>
      <c r="AA31" s="241">
        <f>IF($E31=0,0,NSTonghop!AD31)</f>
        <v>0</v>
      </c>
      <c r="AB31" s="241">
        <f>IF($E31=0,0,NSTonghop!AE31)</f>
        <v>0</v>
      </c>
      <c r="AC31" s="241">
        <f>IF($E31=0,0,NSTonghop!AF31)</f>
        <v>0</v>
      </c>
      <c r="AD31" s="241" t="str">
        <f>IF($E31=0,0,NSTonghop!AH31)</f>
        <v>CN/10/Giỏi</v>
      </c>
      <c r="AE31" s="241">
        <f>IF($E31=0,0,NSTonghop!AJ31)</f>
        <v>350725979</v>
      </c>
      <c r="AF31" s="241" t="str">
        <f>IF($E31=0,0,NSTonghop!AK31)</f>
        <v>13/07/2010</v>
      </c>
      <c r="AG31" s="241" t="str">
        <f>IF($E31=0,0,NSTonghop!AL31)</f>
        <v>01/09/1988</v>
      </c>
      <c r="AH31" s="241" t="str">
        <f>IF($E31=0,0,NSTonghop!AO31)</f>
        <v>05/10/2005</v>
      </c>
      <c r="AI31" s="241" t="str">
        <f>IF($E31=0,0,NSTonghop!AP31)</f>
        <v>31.031 054</v>
      </c>
      <c r="AJ31" s="241">
        <f>IF($E31=0,0,NSTonghop!AQ31)</f>
        <v>2005</v>
      </c>
      <c r="AK31" s="241" t="str">
        <f>IF($E31=0,0,NSTonghop!AT31)</f>
        <v>0355137981</v>
      </c>
      <c r="AL31" s="212"/>
    </row>
    <row r="32" spans="1:38" s="118" customFormat="1" x14ac:dyDescent="0.25">
      <c r="A32" s="220"/>
      <c r="B32" s="128">
        <f>IF(E32=0,0,MAX($B$8:B31)+1)</f>
        <v>18</v>
      </c>
      <c r="C32" s="132">
        <f>IF(E32=0,0,MAX($C$20:C31)+1)</f>
        <v>11</v>
      </c>
      <c r="D32" s="128" t="str">
        <f>IF(NSTonghop!AO32="",0,NSTonghop!E32)</f>
        <v>Nghỉ việc 4/20</v>
      </c>
      <c r="E32" s="128" t="str">
        <f>IF(NSTonghop!AO32="",0,NSTonghop!F32)</f>
        <v>Trần Thiện Hoàng Sự</v>
      </c>
      <c r="F32" s="123">
        <f>IF($E32=0,0,NSTonghop!G32)</f>
        <v>0</v>
      </c>
      <c r="G32" s="123" t="str">
        <f>IF($E32=0,0,NSTonghop!H32)</f>
        <v>01/12/1964</v>
      </c>
      <c r="H32" s="123">
        <f>IF($E32=0,0,NSTonghop!I32)</f>
        <v>0</v>
      </c>
      <c r="I32" s="125">
        <f t="shared" si="0"/>
        <v>1964</v>
      </c>
      <c r="J32" s="125">
        <f t="shared" si="1"/>
        <v>0</v>
      </c>
      <c r="K32" s="123" t="str">
        <f>IF($E32=0,0,NSTonghop!L32)</f>
        <v>GV</v>
      </c>
      <c r="L32" s="123">
        <f>IF($E32=0,0,NSTonghop!M32)</f>
        <v>0</v>
      </c>
      <c r="M32" s="123" t="str">
        <f>IF($E32=0,0,NSTonghop!N32)</f>
        <v>x</v>
      </c>
      <c r="N32" s="123" t="str">
        <f>IF($E32=0,0,NSTonghop!O32)</f>
        <v>Nông dân</v>
      </c>
      <c r="O32" s="123" t="str">
        <f>IF($E32=0,0,NSTonghop!P32)</f>
        <v>Vĩnh Thạnh Trung-An Giang</v>
      </c>
      <c r="P32" s="123" t="str">
        <f>IF($E32=0,0,NSTonghop!Q32)</f>
        <v>Vĩnh Thạnh Trung-Châu Phú</v>
      </c>
      <c r="Q32" s="123" t="str">
        <f>IF($E32=0,0,NSTonghop!R32)</f>
        <v>203/7 Vĩnh Phú-VTT</v>
      </c>
      <c r="R32" s="123" t="str">
        <f>IF($E32=0,0,NSTonghop!S32)</f>
        <v>BTTH/85</v>
      </c>
      <c r="S32" s="123" t="str">
        <f>IF($E32=0,0,NSTonghop!T32)</f>
        <v>CĐ3/Văn-KTPT/88/TB</v>
      </c>
      <c r="T32" s="123" t="str">
        <f>IF($E32=0,0,NSTonghop!U32)</f>
        <v>ĐHTX/Văn/99/TB</v>
      </c>
      <c r="U32" s="123">
        <f>IF($E32=0,0,NSTonghop!V32)</f>
        <v>0</v>
      </c>
      <c r="V32" s="123" t="str">
        <f>IF($E32=0,0,NSTonghop!W32)</f>
        <v>ĐHTX</v>
      </c>
      <c r="W32" s="241">
        <f>IF($E32=0,0,NSTonghop!Z32)</f>
        <v>0</v>
      </c>
      <c r="X32" s="241" t="str">
        <f>IF($E32=0,0,NSTonghop!AA32)</f>
        <v>TC/04/TB</v>
      </c>
      <c r="Y32" s="241" t="str">
        <f>IF($E32=0,0,NSTonghop!AB32)</f>
        <v>A/08/Giỏi</v>
      </c>
      <c r="Z32" s="241">
        <f>IF($E32=0,0,NSTonghop!AC32)</f>
        <v>0</v>
      </c>
      <c r="AA32" s="241">
        <f>IF($E32=0,0,NSTonghop!AD32)</f>
        <v>0</v>
      </c>
      <c r="AB32" s="241">
        <f>IF($E32=0,0,NSTonghop!AE32)</f>
        <v>0</v>
      </c>
      <c r="AC32" s="241">
        <f>IF($E32=0,0,NSTonghop!AF32)</f>
        <v>0</v>
      </c>
      <c r="AD32" s="241" t="str">
        <f>IF($E32=0,0,NSTonghop!AH32)</f>
        <v>CC/12/Khá</v>
      </c>
      <c r="AE32" s="241">
        <f>IF($E32=0,0,NSTonghop!AJ32)</f>
        <v>350473416</v>
      </c>
      <c r="AF32" s="241" t="str">
        <f>IF($E32=0,0,NSTonghop!AK32)</f>
        <v>15/07/2004</v>
      </c>
      <c r="AG32" s="241" t="str">
        <f>IF($E32=0,0,NSTonghop!AL32)</f>
        <v>01/09/1984</v>
      </c>
      <c r="AH32" s="241" t="str">
        <f>IF($E32=0,0,NSTonghop!AO32)</f>
        <v>02/06/1999</v>
      </c>
      <c r="AI32" s="241" t="str">
        <f>IF($E32=0,0,NSTonghop!AP32)</f>
        <v>31.002 782</v>
      </c>
      <c r="AJ32" s="241">
        <f>IF($E32=0,0,NSTonghop!AQ32)</f>
        <v>1999</v>
      </c>
      <c r="AK32" s="241" t="str">
        <f>IF($E32=0,0,NSTonghop!AT32)</f>
        <v>0986275073</v>
      </c>
      <c r="AL32" s="212"/>
    </row>
    <row r="33" spans="1:38" s="118" customFormat="1" x14ac:dyDescent="0.25">
      <c r="A33" s="220"/>
      <c r="B33" s="142">
        <f>IF(E33=0,0,MAX($B$8:B32)+1)</f>
        <v>19</v>
      </c>
      <c r="C33" s="143">
        <f>IF(E33=0,0,MAX($C$20:C32)+1)</f>
        <v>12</v>
      </c>
      <c r="D33" s="142" t="str">
        <f>IF(NSTonghop!AO33="",0,NSTonghop!E33)</f>
        <v>Nghỉ việc 9/17</v>
      </c>
      <c r="E33" s="142" t="str">
        <f>IF(NSTonghop!AO33="",0,NSTonghop!F33)</f>
        <v>Phạm Thị Tuyết Sương</v>
      </c>
      <c r="F33" s="145" t="str">
        <f>IF($E33=0,0,NSTonghop!G33)</f>
        <v>x</v>
      </c>
      <c r="G33" s="145">
        <f>IF($E33=0,0,NSTonghop!H33)</f>
        <v>0</v>
      </c>
      <c r="H33" s="145" t="str">
        <f>IF($E33=0,0,NSTonghop!I33)</f>
        <v>01/01/1964</v>
      </c>
      <c r="I33" s="147">
        <f t="shared" si="0"/>
        <v>0</v>
      </c>
      <c r="J33" s="147">
        <f t="shared" si="1"/>
        <v>1964</v>
      </c>
      <c r="K33" s="145" t="str">
        <f>IF($E33=0,0,NSTonghop!L33)</f>
        <v>GV</v>
      </c>
      <c r="L33" s="145">
        <f>IF($E33=0,0,NSTonghop!M33)</f>
        <v>0</v>
      </c>
      <c r="M33" s="145" t="str">
        <f>IF($E33=0,0,NSTonghop!N33)</f>
        <v>Phật</v>
      </c>
      <c r="N33" s="145" t="str">
        <f>IF($E33=0,0,NSTonghop!O33)</f>
        <v>Nông dân</v>
      </c>
      <c r="O33" s="145" t="str">
        <f>IF($E33=0,0,NSTonghop!P33)</f>
        <v>Vĩnh Thạnh Trung-An Giang</v>
      </c>
      <c r="P33" s="145" t="str">
        <f>IF($E33=0,0,NSTonghop!Q33)</f>
        <v>Vĩnh Thạnh Trung-Châu Phú</v>
      </c>
      <c r="Q33" s="145" t="str">
        <f>IF($E33=0,0,NSTonghop!R33)</f>
        <v>Vĩnh Quí-VTT</v>
      </c>
      <c r="R33" s="145" t="str">
        <f>IF($E33=0,0,NSTonghop!S33)</f>
        <v>PTTH/84/TB</v>
      </c>
      <c r="S33" s="145" t="str">
        <f>IF($E33=0,0,NSTonghop!T33)</f>
        <v>CĐ3/Văn-KTPT/87/TB</v>
      </c>
      <c r="T33" s="145" t="str">
        <f>IF($E33=0,0,NSTonghop!U33)</f>
        <v>ĐHTC/Văn/96/TB</v>
      </c>
      <c r="U33" s="145">
        <f>IF($E33=0,0,NSTonghop!V33)</f>
        <v>0</v>
      </c>
      <c r="V33" s="145" t="str">
        <f>IF($E33=0,0,NSTonghop!W33)</f>
        <v>ĐHTC</v>
      </c>
      <c r="W33" s="242">
        <f>IF($E33=0,0,NSTonghop!Z33)</f>
        <v>0</v>
      </c>
      <c r="X33" s="242">
        <f>IF($E33=0,0,NSTonghop!AA33)</f>
        <v>0</v>
      </c>
      <c r="Y33" s="242" t="str">
        <f>IF($E33=0,0,NSTonghop!AB33)</f>
        <v>A/07/Giỏi</v>
      </c>
      <c r="Z33" s="242">
        <f>IF($E33=0,0,NSTonghop!AC33)</f>
        <v>0</v>
      </c>
      <c r="AA33" s="242">
        <f>IF($E33=0,0,NSTonghop!AD33)</f>
        <v>0</v>
      </c>
      <c r="AB33" s="242">
        <f>IF($E33=0,0,NSTonghop!AE33)</f>
        <v>0</v>
      </c>
      <c r="AC33" s="242">
        <f>IF($E33=0,0,NSTonghop!AF33)</f>
        <v>0</v>
      </c>
      <c r="AD33" s="242">
        <f>IF($E33=0,0,NSTonghop!AH33)</f>
        <v>0</v>
      </c>
      <c r="AE33" s="242">
        <f>IF($E33=0,0,NSTonghop!AJ33)</f>
        <v>350473774</v>
      </c>
      <c r="AF33" s="242" t="str">
        <f>IF($E33=0,0,NSTonghop!AK33)</f>
        <v>10/9/1979</v>
      </c>
      <c r="AG33" s="242" t="str">
        <f>IF($E33=0,0,NSTonghop!AL33)</f>
        <v>10/9/1987</v>
      </c>
      <c r="AH33" s="242" t="str">
        <f>IF($E33=0,0,NSTonghop!AO33)</f>
        <v>18/7/2008</v>
      </c>
      <c r="AI33" s="242">
        <f>IF($E33=0,0,NSTonghop!AP33)</f>
        <v>0</v>
      </c>
      <c r="AJ33" s="242">
        <f>IF($E33=0,0,NSTonghop!AQ33)</f>
        <v>2008</v>
      </c>
      <c r="AK33" s="242">
        <f>IF($E33=0,0,NSTonghop!AT33)</f>
        <v>0</v>
      </c>
      <c r="AL33" s="212"/>
    </row>
    <row r="34" spans="1:38" x14ac:dyDescent="0.25">
      <c r="A34" s="220"/>
      <c r="B34" s="151">
        <f>IF(E34=0,0,MAX($B$8:B33)+1)</f>
        <v>20</v>
      </c>
      <c r="C34" s="152">
        <f>IF(E34=0,0,1)</f>
        <v>1</v>
      </c>
      <c r="D34" s="151">
        <f>IF(NSTonghop!AO34="",0,NSTonghop!E34)</f>
        <v>0</v>
      </c>
      <c r="E34" s="151" t="str">
        <f>IF(NSTonghop!AO34="",0,NSTonghop!F34)</f>
        <v>Trịnh Công Vĩnh</v>
      </c>
      <c r="F34" s="123">
        <f>IF($E34=0,0,NSTonghop!G34)</f>
        <v>0</v>
      </c>
      <c r="G34" s="123" t="str">
        <f>IF($E34=0,0,NSTonghop!H34)</f>
        <v>09/01/1986</v>
      </c>
      <c r="H34" s="123">
        <f>IF($E34=0,0,NSTonghop!I34)</f>
        <v>0</v>
      </c>
      <c r="I34" s="185">
        <f t="shared" si="0"/>
        <v>1986</v>
      </c>
      <c r="J34" s="185">
        <f t="shared" si="1"/>
        <v>0</v>
      </c>
      <c r="K34" s="123" t="str">
        <f>IF($E34=0,0,NSTonghop!L34)</f>
        <v>GV</v>
      </c>
      <c r="L34" s="123">
        <f>IF($E34=0,0,NSTonghop!M34)</f>
        <v>0</v>
      </c>
      <c r="M34" s="123">
        <f>IF($E34=0,0,NSTonghop!N34)</f>
        <v>0</v>
      </c>
      <c r="N34" s="123" t="str">
        <f>IF($E34=0,0,NSTonghop!O34)</f>
        <v>Nông dân</v>
      </c>
      <c r="O34" s="123" t="str">
        <f>IF($E34=0,0,NSTonghop!P34)</f>
        <v>Vĩnh Thạnh Trung-An Giang</v>
      </c>
      <c r="P34" s="123" t="str">
        <f>IF($E34=0,0,NSTonghop!Q34)</f>
        <v>Vĩnh Thạnh Trung-Châu Phú</v>
      </c>
      <c r="Q34" s="123" t="str">
        <f>IF($E34=0,0,NSTonghop!R34)</f>
        <v>261/12 Vĩnh Lợi-VTT</v>
      </c>
      <c r="R34" s="123" t="str">
        <f>IF($E34=0,0,NSTonghop!S34)</f>
        <v>PTTH/04/TB</v>
      </c>
      <c r="S34" s="123" t="str">
        <f>IF($E34=0,0,NSTonghop!T34)</f>
        <v>ĐHCQ/Sử/09/TBK</v>
      </c>
      <c r="T34" s="123">
        <f>IF($E34=0,0,NSTonghop!U34)</f>
        <v>0</v>
      </c>
      <c r="U34" s="123">
        <f>IF($E34=0,0,NSTonghop!V34)</f>
        <v>0</v>
      </c>
      <c r="V34" s="123" t="str">
        <f>IF($E34=0,0,NSTonghop!W34)</f>
        <v>ĐHCQ</v>
      </c>
      <c r="W34" s="241" t="str">
        <f>IF($E34=0,0,NSTonghop!Z34)</f>
        <v>QLTHCS/19</v>
      </c>
      <c r="X34" s="241" t="str">
        <f>IF($E34=0,0,NSTonghop!AA34)</f>
        <v>SC/18</v>
      </c>
      <c r="Y34" s="241" t="str">
        <f>IF($E34=0,0,NSTonghop!AB34)</f>
        <v>A/09/TB</v>
      </c>
      <c r="Z34" s="241" t="str">
        <f>IF($E34=0,0,NSTonghop!AC34)</f>
        <v>B/Anh/09/TB</v>
      </c>
      <c r="AA34" s="241">
        <f>IF($E34=0,0,NSTonghop!AD34)</f>
        <v>0</v>
      </c>
      <c r="AB34" s="241">
        <f>IF($E34=0,0,NSTonghop!AE34)</f>
        <v>0</v>
      </c>
      <c r="AC34" s="241">
        <f>IF($E34=0,0,NSTonghop!AF34)</f>
        <v>0</v>
      </c>
      <c r="AD34" s="241" t="str">
        <f>IF($E34=0,0,NSTonghop!AH34)</f>
        <v>CN/11/Khá</v>
      </c>
      <c r="AE34" s="241">
        <f>IF($E34=0,0,NSTonghop!AJ34)</f>
        <v>351803204</v>
      </c>
      <c r="AF34" s="241" t="str">
        <f>IF($E34=0,0,NSTonghop!AK34)</f>
        <v>21/12/2018</v>
      </c>
      <c r="AG34" s="241" t="str">
        <f>IF($E34=0,0,NSTonghop!AL34)</f>
        <v>01/09/2012</v>
      </c>
      <c r="AH34" s="241" t="str">
        <f>IF($E34=0,0,NSTonghop!AO34)</f>
        <v>24/01/2015</v>
      </c>
      <c r="AI34" s="241" t="str">
        <f>IF($E34=0,0,NSTonghop!AP34)</f>
        <v>Chưa thẻ</v>
      </c>
      <c r="AJ34" s="241">
        <f>IF($E34=0,0,NSTonghop!AQ34)</f>
        <v>2015</v>
      </c>
      <c r="AK34" s="241" t="str">
        <f>IF($E34=0,0,NSTonghop!AT34)</f>
        <v>0387050052</v>
      </c>
      <c r="AL34" s="212"/>
    </row>
    <row r="35" spans="1:38" x14ac:dyDescent="0.25">
      <c r="A35" s="220"/>
      <c r="B35" s="162">
        <f>IF(E35=0,0,MAX($B$8:B34)+1)</f>
        <v>21</v>
      </c>
      <c r="C35" s="163">
        <f>IF(E35=0,0,MAX($C$34:C34)+1)</f>
        <v>2</v>
      </c>
      <c r="D35" s="162">
        <f>IF(NSTonghop!AO35="",0,NSTonghop!E35)</f>
        <v>0</v>
      </c>
      <c r="E35" s="162" t="str">
        <f>IF(NSTonghop!AO35="",0,NSTonghop!F35)</f>
        <v>Trần Thị Kim Hương</v>
      </c>
      <c r="F35" s="123" t="str">
        <f>IF($E35=0,0,NSTonghop!G35)</f>
        <v>x</v>
      </c>
      <c r="G35" s="123">
        <f>IF($E35=0,0,NSTonghop!H35)</f>
        <v>0</v>
      </c>
      <c r="H35" s="123" t="str">
        <f>IF($E35=0,0,NSTonghop!I35)</f>
        <v>25/08/1986</v>
      </c>
      <c r="I35" s="125">
        <f t="shared" si="0"/>
        <v>0</v>
      </c>
      <c r="J35" s="125">
        <f t="shared" si="1"/>
        <v>1986</v>
      </c>
      <c r="K35" s="123" t="str">
        <f>IF($E35=0,0,NSTonghop!L35)</f>
        <v>GV</v>
      </c>
      <c r="L35" s="123">
        <f>IF($E35=0,0,NSTonghop!M35)</f>
        <v>0</v>
      </c>
      <c r="M35" s="123" t="str">
        <f>IF($E35=0,0,NSTonghop!N35)</f>
        <v>Hòa Hảo</v>
      </c>
      <c r="N35" s="123" t="str">
        <f>IF($E35=0,0,NSTonghop!O35)</f>
        <v>Nông dân</v>
      </c>
      <c r="O35" s="123" t="str">
        <f>IF($E35=0,0,NSTonghop!P35)</f>
        <v>Vĩnh Thạnh Trung-An Giang</v>
      </c>
      <c r="P35" s="123" t="str">
        <f>IF($E35=0,0,NSTonghop!Q35)</f>
        <v>Vĩnh Thạnh Trung-Châu Phú</v>
      </c>
      <c r="Q35" s="123" t="str">
        <f>IF($E35=0,0,NSTonghop!R35)</f>
        <v>3 Thạnh Lợi-VTT</v>
      </c>
      <c r="R35" s="123" t="str">
        <f>IF($E35=0,0,NSTonghop!S35)</f>
        <v>PTTH/04/TB</v>
      </c>
      <c r="S35" s="123" t="str">
        <f>IF($E35=0,0,NSTonghop!T35)</f>
        <v>CĐ3/Sử-Địa/07/Khá</v>
      </c>
      <c r="T35" s="123" t="str">
        <f>IF($E35=0,0,NSTonghop!U35)</f>
        <v>ĐHTX/Sử/11/Khá</v>
      </c>
      <c r="U35" s="123">
        <f>IF($E35=0,0,NSTonghop!V35)</f>
        <v>0</v>
      </c>
      <c r="V35" s="123" t="str">
        <f>IF($E35=0,0,NSTonghop!W35)</f>
        <v>ĐHTX</v>
      </c>
      <c r="W35" s="241">
        <f>IF($E35=0,0,NSTonghop!Z35)</f>
        <v>0</v>
      </c>
      <c r="X35" s="241" t="str">
        <f>IF($E35=0,0,NSTonghop!AA35)</f>
        <v>SC/18</v>
      </c>
      <c r="Y35" s="241" t="str">
        <f>IF($E35=0,0,NSTonghop!AB35)</f>
        <v>A/07/Giỏi</v>
      </c>
      <c r="Z35" s="241" t="str">
        <f>IF($E35=0,0,NSTonghop!AC35)</f>
        <v>A/Anh/09/Khá</v>
      </c>
      <c r="AA35" s="241">
        <f>IF($E35=0,0,NSTonghop!AD35)</f>
        <v>0</v>
      </c>
      <c r="AB35" s="241">
        <f>IF($E35=0,0,NSTonghop!AE35)</f>
        <v>0</v>
      </c>
      <c r="AC35" s="241">
        <f>IF($E35=0,0,NSTonghop!AF35)</f>
        <v>0</v>
      </c>
      <c r="AD35" s="241" t="str">
        <f>IF($E35=0,0,NSTonghop!AH35)</f>
        <v>CC/12/Khá</v>
      </c>
      <c r="AE35" s="241">
        <f>IF($E35=0,0,NSTonghop!AJ35)</f>
        <v>351782248</v>
      </c>
      <c r="AF35" s="241" t="str">
        <f>IF($E35=0,0,NSTonghop!AK35)</f>
        <v>12/04/2005</v>
      </c>
      <c r="AG35" s="241" t="str">
        <f>IF($E35=0,0,NSTonghop!AL35)</f>
        <v>01/09/2007</v>
      </c>
      <c r="AH35" s="241" t="str">
        <f>IF($E35=0,0,NSTonghop!AO35)</f>
        <v>22/12/2010</v>
      </c>
      <c r="AI35" s="241" t="str">
        <f>IF($E35=0,0,NSTonghop!AP35)</f>
        <v>31.045 208</v>
      </c>
      <c r="AJ35" s="241">
        <f>IF($E35=0,0,NSTonghop!AQ35)</f>
        <v>2010</v>
      </c>
      <c r="AK35" s="241" t="str">
        <f>IF($E35=0,0,NSTonghop!AT35)</f>
        <v>0965606942</v>
      </c>
      <c r="AL35" s="212"/>
    </row>
    <row r="36" spans="1:38" hidden="1" x14ac:dyDescent="0.25">
      <c r="A36" s="220"/>
      <c r="B36" s="162">
        <f>IF(E36=0,0,MAX($B$8:B35)+1)</f>
        <v>0</v>
      </c>
      <c r="C36" s="163">
        <f>IF(E36=0,0,MAX($C$34:C35)+1)</f>
        <v>0</v>
      </c>
      <c r="D36" s="162">
        <f>IF(NSTonghop!AO36="",0,NSTonghop!E36)</f>
        <v>0</v>
      </c>
      <c r="E36" s="162">
        <f>IF(NSTonghop!AO36="",0,NSTonghop!F36)</f>
        <v>0</v>
      </c>
      <c r="F36" s="123">
        <f>IF($E36=0,0,NSTonghop!G36)</f>
        <v>0</v>
      </c>
      <c r="G36" s="123">
        <f>IF($E36=0,0,NSTonghop!H36)</f>
        <v>0</v>
      </c>
      <c r="H36" s="123">
        <f>IF($E36=0,0,NSTonghop!I36)</f>
        <v>0</v>
      </c>
      <c r="I36" s="125">
        <f t="shared" si="0"/>
        <v>0</v>
      </c>
      <c r="J36" s="125">
        <f t="shared" si="1"/>
        <v>0</v>
      </c>
      <c r="K36" s="123">
        <f>IF($E36=0,0,NSTonghop!L36)</f>
        <v>0</v>
      </c>
      <c r="L36" s="123">
        <f>IF($E36=0,0,NSTonghop!M36)</f>
        <v>0</v>
      </c>
      <c r="M36" s="123">
        <f>IF($E36=0,0,NSTonghop!N36)</f>
        <v>0</v>
      </c>
      <c r="N36" s="123">
        <f>IF($E36=0,0,NSTonghop!O36)</f>
        <v>0</v>
      </c>
      <c r="O36" s="123">
        <f>IF($E36=0,0,NSTonghop!P36)</f>
        <v>0</v>
      </c>
      <c r="P36" s="123">
        <f>IF($E36=0,0,NSTonghop!Q36)</f>
        <v>0</v>
      </c>
      <c r="Q36" s="123">
        <f>IF($E36=0,0,NSTonghop!R36)</f>
        <v>0</v>
      </c>
      <c r="R36" s="123">
        <f>IF($E36=0,0,NSTonghop!S36)</f>
        <v>0</v>
      </c>
      <c r="S36" s="123">
        <f>IF($E36=0,0,NSTonghop!T36)</f>
        <v>0</v>
      </c>
      <c r="T36" s="123">
        <f>IF($E36=0,0,NSTonghop!U36)</f>
        <v>0</v>
      </c>
      <c r="U36" s="123">
        <f>IF($E36=0,0,NSTonghop!V36)</f>
        <v>0</v>
      </c>
      <c r="V36" s="123">
        <f>IF($E36=0,0,NSTonghop!W36)</f>
        <v>0</v>
      </c>
      <c r="W36" s="241">
        <f>IF($E36=0,0,NSTonghop!Z36)</f>
        <v>0</v>
      </c>
      <c r="X36" s="241">
        <f>IF($E36=0,0,NSTonghop!AA36)</f>
        <v>0</v>
      </c>
      <c r="Y36" s="241">
        <f>IF($E36=0,0,NSTonghop!AB36)</f>
        <v>0</v>
      </c>
      <c r="Z36" s="241">
        <f>IF($E36=0,0,NSTonghop!AC36)</f>
        <v>0</v>
      </c>
      <c r="AA36" s="241">
        <f>IF($E36=0,0,NSTonghop!AD36)</f>
        <v>0</v>
      </c>
      <c r="AB36" s="241">
        <f>IF($E36=0,0,NSTonghop!AE36)</f>
        <v>0</v>
      </c>
      <c r="AC36" s="241">
        <f>IF($E36=0,0,NSTonghop!AF36)</f>
        <v>0</v>
      </c>
      <c r="AD36" s="241">
        <f>IF($E36=0,0,NSTonghop!AH36)</f>
        <v>0</v>
      </c>
      <c r="AE36" s="241">
        <f>IF($E36=0,0,NSTonghop!AJ36)</f>
        <v>0</v>
      </c>
      <c r="AF36" s="241">
        <f>IF($E36=0,0,NSTonghop!AK36)</f>
        <v>0</v>
      </c>
      <c r="AG36" s="241">
        <f>IF($E36=0,0,NSTonghop!AL36)</f>
        <v>0</v>
      </c>
      <c r="AH36" s="241">
        <f>IF($E36=0,0,NSTonghop!AO36)</f>
        <v>0</v>
      </c>
      <c r="AI36" s="241">
        <f>IF($E36=0,0,NSTonghop!AP36)</f>
        <v>0</v>
      </c>
      <c r="AJ36" s="241">
        <f>IF($E36=0,0,NSTonghop!AQ36)</f>
        <v>0</v>
      </c>
      <c r="AK36" s="241">
        <f>IF($E36=0,0,NSTonghop!AT36)</f>
        <v>0</v>
      </c>
      <c r="AL36" s="212"/>
    </row>
    <row r="37" spans="1:38" hidden="1" x14ac:dyDescent="0.25">
      <c r="A37" s="220"/>
      <c r="B37" s="162">
        <f>IF(E37=0,0,MAX($B$8:B36)+1)</f>
        <v>0</v>
      </c>
      <c r="C37" s="163">
        <f>IF(E37=0,0,MAX($C$34:C36)+1)</f>
        <v>0</v>
      </c>
      <c r="D37" s="162">
        <f>IF(NSTonghop!AO37="",0,NSTonghop!E37)</f>
        <v>0</v>
      </c>
      <c r="E37" s="162">
        <f>IF(NSTonghop!AO37="",0,NSTonghop!F37)</f>
        <v>0</v>
      </c>
      <c r="F37" s="123">
        <f>IF($E37=0,0,NSTonghop!G37)</f>
        <v>0</v>
      </c>
      <c r="G37" s="123">
        <f>IF($E37=0,0,NSTonghop!H37)</f>
        <v>0</v>
      </c>
      <c r="H37" s="123">
        <f>IF($E37=0,0,NSTonghop!I37)</f>
        <v>0</v>
      </c>
      <c r="I37" s="125">
        <f t="shared" si="0"/>
        <v>0</v>
      </c>
      <c r="J37" s="125">
        <f t="shared" si="1"/>
        <v>0</v>
      </c>
      <c r="K37" s="123">
        <f>IF($E37=0,0,NSTonghop!L37)</f>
        <v>0</v>
      </c>
      <c r="L37" s="123">
        <f>IF($E37=0,0,NSTonghop!M37)</f>
        <v>0</v>
      </c>
      <c r="M37" s="123">
        <f>IF($E37=0,0,NSTonghop!N37)</f>
        <v>0</v>
      </c>
      <c r="N37" s="123">
        <f>IF($E37=0,0,NSTonghop!O37)</f>
        <v>0</v>
      </c>
      <c r="O37" s="123">
        <f>IF($E37=0,0,NSTonghop!P37)</f>
        <v>0</v>
      </c>
      <c r="P37" s="123">
        <f>IF($E37=0,0,NSTonghop!Q37)</f>
        <v>0</v>
      </c>
      <c r="Q37" s="123">
        <f>IF($E37=0,0,NSTonghop!R37)</f>
        <v>0</v>
      </c>
      <c r="R37" s="123">
        <f>IF($E37=0,0,NSTonghop!S37)</f>
        <v>0</v>
      </c>
      <c r="S37" s="123">
        <f>IF($E37=0,0,NSTonghop!T37)</f>
        <v>0</v>
      </c>
      <c r="T37" s="123">
        <f>IF($E37=0,0,NSTonghop!U37)</f>
        <v>0</v>
      </c>
      <c r="U37" s="123">
        <f>IF($E37=0,0,NSTonghop!V37)</f>
        <v>0</v>
      </c>
      <c r="V37" s="123">
        <f>IF($E37=0,0,NSTonghop!W37)</f>
        <v>0</v>
      </c>
      <c r="W37" s="241">
        <f>IF($E37=0,0,NSTonghop!Z37)</f>
        <v>0</v>
      </c>
      <c r="X37" s="241">
        <f>IF($E37=0,0,NSTonghop!AA37)</f>
        <v>0</v>
      </c>
      <c r="Y37" s="241">
        <f>IF($E37=0,0,NSTonghop!AB37)</f>
        <v>0</v>
      </c>
      <c r="Z37" s="241">
        <f>IF($E37=0,0,NSTonghop!AC37)</f>
        <v>0</v>
      </c>
      <c r="AA37" s="241">
        <f>IF($E37=0,0,NSTonghop!AD37)</f>
        <v>0</v>
      </c>
      <c r="AB37" s="241">
        <f>IF($E37=0,0,NSTonghop!AE37)</f>
        <v>0</v>
      </c>
      <c r="AC37" s="241">
        <f>IF($E37=0,0,NSTonghop!AF37)</f>
        <v>0</v>
      </c>
      <c r="AD37" s="241">
        <f>IF($E37=0,0,NSTonghop!AH37)</f>
        <v>0</v>
      </c>
      <c r="AE37" s="241">
        <f>IF($E37=0,0,NSTonghop!AJ37)</f>
        <v>0</v>
      </c>
      <c r="AF37" s="241">
        <f>IF($E37=0,0,NSTonghop!AK37)</f>
        <v>0</v>
      </c>
      <c r="AG37" s="241">
        <f>IF($E37=0,0,NSTonghop!AL37)</f>
        <v>0</v>
      </c>
      <c r="AH37" s="241">
        <f>IF($E37=0,0,NSTonghop!AO37)</f>
        <v>0</v>
      </c>
      <c r="AI37" s="241">
        <f>IF($E37=0,0,NSTonghop!AP37)</f>
        <v>0</v>
      </c>
      <c r="AJ37" s="241">
        <f>IF($E37=0,0,NSTonghop!AQ37)</f>
        <v>0</v>
      </c>
      <c r="AK37" s="241">
        <f>IF($E37=0,0,NSTonghop!AT37)</f>
        <v>0</v>
      </c>
      <c r="AL37" s="212"/>
    </row>
    <row r="38" spans="1:38" hidden="1" x14ac:dyDescent="0.25">
      <c r="A38" s="220"/>
      <c r="B38" s="162">
        <f>IF(E38=0,0,MAX($B$8:B37)+1)</f>
        <v>0</v>
      </c>
      <c r="C38" s="163">
        <f>IF(E38=0,0,MAX($C$34:C37)+1)</f>
        <v>0</v>
      </c>
      <c r="D38" s="162">
        <f>IF(NSTonghop!AO38="",0,NSTonghop!E38)</f>
        <v>0</v>
      </c>
      <c r="E38" s="162">
        <f>IF(NSTonghop!AO38="",0,NSTonghop!F38)</f>
        <v>0</v>
      </c>
      <c r="F38" s="123">
        <f>IF($E38=0,0,NSTonghop!G38)</f>
        <v>0</v>
      </c>
      <c r="G38" s="123">
        <f>IF($E38=0,0,NSTonghop!H38)</f>
        <v>0</v>
      </c>
      <c r="H38" s="123">
        <f>IF($E38=0,0,NSTonghop!I38)</f>
        <v>0</v>
      </c>
      <c r="I38" s="125">
        <f t="shared" si="0"/>
        <v>0</v>
      </c>
      <c r="J38" s="125">
        <f t="shared" si="1"/>
        <v>0</v>
      </c>
      <c r="K38" s="123">
        <f>IF($E38=0,0,NSTonghop!L38)</f>
        <v>0</v>
      </c>
      <c r="L38" s="123">
        <f>IF($E38=0,0,NSTonghop!M38)</f>
        <v>0</v>
      </c>
      <c r="M38" s="123">
        <f>IF($E38=0,0,NSTonghop!N38)</f>
        <v>0</v>
      </c>
      <c r="N38" s="123">
        <f>IF($E38=0,0,NSTonghop!O38)</f>
        <v>0</v>
      </c>
      <c r="O38" s="123">
        <f>IF($E38=0,0,NSTonghop!P38)</f>
        <v>0</v>
      </c>
      <c r="P38" s="123">
        <f>IF($E38=0,0,NSTonghop!Q38)</f>
        <v>0</v>
      </c>
      <c r="Q38" s="123">
        <f>IF($E38=0,0,NSTonghop!R38)</f>
        <v>0</v>
      </c>
      <c r="R38" s="123">
        <f>IF($E38=0,0,NSTonghop!S38)</f>
        <v>0</v>
      </c>
      <c r="S38" s="123">
        <f>IF($E38=0,0,NSTonghop!T38)</f>
        <v>0</v>
      </c>
      <c r="T38" s="123">
        <f>IF($E38=0,0,NSTonghop!U38)</f>
        <v>0</v>
      </c>
      <c r="U38" s="123">
        <f>IF($E38=0,0,NSTonghop!V38)</f>
        <v>0</v>
      </c>
      <c r="V38" s="123">
        <f>IF($E38=0,0,NSTonghop!W38)</f>
        <v>0</v>
      </c>
      <c r="W38" s="241">
        <f>IF($E38=0,0,NSTonghop!Z38)</f>
        <v>0</v>
      </c>
      <c r="X38" s="241">
        <f>IF($E38=0,0,NSTonghop!AA38)</f>
        <v>0</v>
      </c>
      <c r="Y38" s="241">
        <f>IF($E38=0,0,NSTonghop!AB38)</f>
        <v>0</v>
      </c>
      <c r="Z38" s="241">
        <f>IF($E38=0,0,NSTonghop!AC38)</f>
        <v>0</v>
      </c>
      <c r="AA38" s="241">
        <f>IF($E38=0,0,NSTonghop!AD38)</f>
        <v>0</v>
      </c>
      <c r="AB38" s="241">
        <f>IF($E38=0,0,NSTonghop!AE38)</f>
        <v>0</v>
      </c>
      <c r="AC38" s="241">
        <f>IF($E38=0,0,NSTonghop!AF38)</f>
        <v>0</v>
      </c>
      <c r="AD38" s="241">
        <f>IF($E38=0,0,NSTonghop!AH38)</f>
        <v>0</v>
      </c>
      <c r="AE38" s="241">
        <f>IF($E38=0,0,NSTonghop!AJ38)</f>
        <v>0</v>
      </c>
      <c r="AF38" s="241">
        <f>IF($E38=0,0,NSTonghop!AK38)</f>
        <v>0</v>
      </c>
      <c r="AG38" s="241">
        <f>IF($E38=0,0,NSTonghop!AL38)</f>
        <v>0</v>
      </c>
      <c r="AH38" s="241">
        <f>IF($E38=0,0,NSTonghop!AO38)</f>
        <v>0</v>
      </c>
      <c r="AI38" s="241">
        <f>IF($E38=0,0,NSTonghop!AP38)</f>
        <v>0</v>
      </c>
      <c r="AJ38" s="241">
        <f>IF($E38=0,0,NSTonghop!AQ38)</f>
        <v>0</v>
      </c>
      <c r="AK38" s="241">
        <f>IF($E38=0,0,NSTonghop!AT38)</f>
        <v>0</v>
      </c>
      <c r="AL38" s="212"/>
    </row>
    <row r="39" spans="1:38" hidden="1" x14ac:dyDescent="0.25">
      <c r="A39" s="220"/>
      <c r="B39" s="229">
        <f>IF(E39=0,0,MAX($B$8:B38)+1)</f>
        <v>0</v>
      </c>
      <c r="C39" s="163">
        <f>IF(E39=0,0,MAX($C$34:C38)+1)</f>
        <v>0</v>
      </c>
      <c r="D39" s="162">
        <f>IF(NSTonghop!AO39="",0,NSTonghop!E39)</f>
        <v>0</v>
      </c>
      <c r="E39" s="162">
        <f>IF(NSTonghop!AO39="",0,NSTonghop!F39)</f>
        <v>0</v>
      </c>
      <c r="F39" s="123">
        <f>IF($E39=0,0,NSTonghop!G39)</f>
        <v>0</v>
      </c>
      <c r="G39" s="123">
        <f>IF($E39=0,0,NSTonghop!H39)</f>
        <v>0</v>
      </c>
      <c r="H39" s="123">
        <f>IF($E39=0,0,NSTonghop!I39)</f>
        <v>0</v>
      </c>
      <c r="I39" s="125">
        <f t="shared" si="0"/>
        <v>0</v>
      </c>
      <c r="J39" s="125">
        <f t="shared" si="1"/>
        <v>0</v>
      </c>
      <c r="K39" s="123">
        <f>IF($E39=0,0,NSTonghop!L39)</f>
        <v>0</v>
      </c>
      <c r="L39" s="123">
        <f>IF($E39=0,0,NSTonghop!M39)</f>
        <v>0</v>
      </c>
      <c r="M39" s="123">
        <f>IF($E39=0,0,NSTonghop!N39)</f>
        <v>0</v>
      </c>
      <c r="N39" s="123">
        <f>IF($E39=0,0,NSTonghop!O39)</f>
        <v>0</v>
      </c>
      <c r="O39" s="123">
        <f>IF($E39=0,0,NSTonghop!P39)</f>
        <v>0</v>
      </c>
      <c r="P39" s="123">
        <f>IF($E39=0,0,NSTonghop!Q39)</f>
        <v>0</v>
      </c>
      <c r="Q39" s="123">
        <f>IF($E39=0,0,NSTonghop!R39)</f>
        <v>0</v>
      </c>
      <c r="R39" s="123">
        <f>IF($E39=0,0,NSTonghop!S39)</f>
        <v>0</v>
      </c>
      <c r="S39" s="123">
        <f>IF($E39=0,0,NSTonghop!T39)</f>
        <v>0</v>
      </c>
      <c r="T39" s="123">
        <f>IF($E39=0,0,NSTonghop!U39)</f>
        <v>0</v>
      </c>
      <c r="U39" s="123">
        <f>IF($E39=0,0,NSTonghop!V39)</f>
        <v>0</v>
      </c>
      <c r="V39" s="123">
        <f>IF($E39=0,0,NSTonghop!W39)</f>
        <v>0</v>
      </c>
      <c r="W39" s="241">
        <f>IF($E39=0,0,NSTonghop!Z39)</f>
        <v>0</v>
      </c>
      <c r="X39" s="241">
        <f>IF($E39=0,0,NSTonghop!AA39)</f>
        <v>0</v>
      </c>
      <c r="Y39" s="241">
        <f>IF($E39=0,0,NSTonghop!AB39)</f>
        <v>0</v>
      </c>
      <c r="Z39" s="241">
        <f>IF($E39=0,0,NSTonghop!AC39)</f>
        <v>0</v>
      </c>
      <c r="AA39" s="241">
        <f>IF($E39=0,0,NSTonghop!AD39)</f>
        <v>0</v>
      </c>
      <c r="AB39" s="241">
        <f>IF($E39=0,0,NSTonghop!AE39)</f>
        <v>0</v>
      </c>
      <c r="AC39" s="241">
        <f>IF($E39=0,0,NSTonghop!AF39)</f>
        <v>0</v>
      </c>
      <c r="AD39" s="241">
        <f>IF($E39=0,0,NSTonghop!AH39)</f>
        <v>0</v>
      </c>
      <c r="AE39" s="241">
        <f>IF($E39=0,0,NSTonghop!AJ39)</f>
        <v>0</v>
      </c>
      <c r="AF39" s="241">
        <f>IF($E39=0,0,NSTonghop!AK39)</f>
        <v>0</v>
      </c>
      <c r="AG39" s="241">
        <f>IF($E39=0,0,NSTonghop!AL39)</f>
        <v>0</v>
      </c>
      <c r="AH39" s="241">
        <f>IF($E39=0,0,NSTonghop!AO39)</f>
        <v>0</v>
      </c>
      <c r="AI39" s="241">
        <f>IF($E39=0,0,NSTonghop!AP39)</f>
        <v>0</v>
      </c>
      <c r="AJ39" s="241">
        <f>IF($E39=0,0,NSTonghop!AQ39)</f>
        <v>0</v>
      </c>
      <c r="AK39" s="241">
        <f>IF($E39=0,0,NSTonghop!AT39)</f>
        <v>0</v>
      </c>
      <c r="AL39" s="212"/>
    </row>
    <row r="40" spans="1:38" x14ac:dyDescent="0.25">
      <c r="A40" s="220"/>
      <c r="B40" s="162">
        <f>IF(E40=0,0,MAX($B$8:B39)+1)</f>
        <v>22</v>
      </c>
      <c r="C40" s="163">
        <f>IF(E40=0,0,MAX($C$34:C39)+1)</f>
        <v>3</v>
      </c>
      <c r="D40" s="162">
        <f>IF(NSTonghop!AO40="",0,NSTonghop!E40)</f>
        <v>0</v>
      </c>
      <c r="E40" s="162" t="str">
        <f>IF(NSTonghop!AO40="",0,NSTonghop!F40)</f>
        <v>Phạm Thị Thoa</v>
      </c>
      <c r="F40" s="123" t="str">
        <f>IF($E40=0,0,NSTonghop!G40)</f>
        <v>x</v>
      </c>
      <c r="G40" s="123">
        <f>IF($E40=0,0,NSTonghop!H40)</f>
        <v>0</v>
      </c>
      <c r="H40" s="123" t="str">
        <f>IF($E40=0,0,NSTonghop!I40)</f>
        <v>10/05/1979</v>
      </c>
      <c r="I40" s="125">
        <f t="shared" si="0"/>
        <v>0</v>
      </c>
      <c r="J40" s="125">
        <f t="shared" si="1"/>
        <v>1979</v>
      </c>
      <c r="K40" s="123" t="str">
        <f>IF($E40=0,0,NSTonghop!L40)</f>
        <v>GV</v>
      </c>
      <c r="L40" s="123">
        <f>IF($E40=0,0,NSTonghop!M40)</f>
        <v>0</v>
      </c>
      <c r="M40" s="123" t="str">
        <f>IF($E40=0,0,NSTonghop!N40)</f>
        <v>x</v>
      </c>
      <c r="N40" s="123" t="str">
        <f>IF($E40=0,0,NSTonghop!O40)</f>
        <v>x</v>
      </c>
      <c r="O40" s="123" t="str">
        <f>IF($E40=0,0,NSTonghop!P40)</f>
        <v>Nam Giang-Thanh Hóa</v>
      </c>
      <c r="P40" s="123" t="str">
        <f>IF($E40=0,0,NSTonghop!Q40)</f>
        <v>Nam Giang-Thọ Xuân-Thanh Hóa</v>
      </c>
      <c r="Q40" s="123" t="str">
        <f>IF($E40=0,0,NSTonghop!R40)</f>
        <v>18/1 Vĩnh Phú-VTT</v>
      </c>
      <c r="R40" s="123" t="str">
        <f>IF($E40=0,0,NSTonghop!S40)</f>
        <v>PTTH/96/TB</v>
      </c>
      <c r="S40" s="123" t="str">
        <f>IF($E40=0,0,NSTonghop!T40)</f>
        <v>CĐ3/Văn-GDCD/99/TB</v>
      </c>
      <c r="T40" s="123">
        <f>IF($E40=0,0,NSTonghop!U40)</f>
        <v>0</v>
      </c>
      <c r="U40" s="123">
        <f>IF($E40=0,0,NSTonghop!V40)</f>
        <v>0</v>
      </c>
      <c r="V40" s="123" t="str">
        <f>IF($E40=0,0,NSTonghop!W40)</f>
        <v>CĐ3/</v>
      </c>
      <c r="W40" s="241">
        <f>IF($E40=0,0,NSTonghop!Z40)</f>
        <v>0</v>
      </c>
      <c r="X40" s="241">
        <f>IF($E40=0,0,NSTonghop!AA40)</f>
        <v>0</v>
      </c>
      <c r="Y40" s="241" t="str">
        <f>IF($E40=0,0,NSTonghop!AB40)</f>
        <v>A/08/Khá</v>
      </c>
      <c r="Z40" s="241">
        <f>IF($E40=0,0,NSTonghop!AC40)</f>
        <v>0</v>
      </c>
      <c r="AA40" s="241">
        <f>IF($E40=0,0,NSTonghop!AD40)</f>
        <v>0</v>
      </c>
      <c r="AB40" s="241">
        <f>IF($E40=0,0,NSTonghop!AE40)</f>
        <v>0</v>
      </c>
      <c r="AC40" s="241">
        <f>IF($E40=0,0,NSTonghop!AF40)</f>
        <v>0</v>
      </c>
      <c r="AD40" s="241">
        <f>IF($E40=0,0,NSTonghop!AH40)</f>
        <v>0</v>
      </c>
      <c r="AE40" s="241">
        <f>IF($E40=0,0,NSTonghop!AJ40)</f>
        <v>352428214</v>
      </c>
      <c r="AF40" s="241" t="str">
        <f>IF($E40=0,0,NSTonghop!AK40)</f>
        <v>12/12/2012</v>
      </c>
      <c r="AG40" s="241" t="str">
        <f>IF($E40=0,0,NSTonghop!AL40)</f>
        <v>01/09/1999</v>
      </c>
      <c r="AH40" s="241" t="str">
        <f>IF($E40=0,0,NSTonghop!AO40)</f>
        <v>09/08/2001</v>
      </c>
      <c r="AI40" s="241" t="str">
        <f>IF($E40=0,0,NSTonghop!AP40)</f>
        <v>31.020 543</v>
      </c>
      <c r="AJ40" s="241">
        <f>IF($E40=0,0,NSTonghop!AQ40)</f>
        <v>2001</v>
      </c>
      <c r="AK40" s="241" t="str">
        <f>IF($E40=0,0,NSTonghop!AT40)</f>
        <v>0919367349</v>
      </c>
      <c r="AL40" s="212"/>
    </row>
    <row r="41" spans="1:38" x14ac:dyDescent="0.25">
      <c r="A41" s="220"/>
      <c r="B41" s="162">
        <f>IF(E41=0,0,MAX($B$8:B40)+1)</f>
        <v>23</v>
      </c>
      <c r="C41" s="163">
        <f>IF(E41=0,0,MAX($C$34:C40)+1)</f>
        <v>4</v>
      </c>
      <c r="D41" s="162">
        <f>IF(NSTonghop!AO41="",0,NSTonghop!E41)</f>
        <v>0</v>
      </c>
      <c r="E41" s="162" t="str">
        <f>IF(NSTonghop!AO41="",0,NSTonghop!F41)</f>
        <v>Lê Thị Tính</v>
      </c>
      <c r="F41" s="123" t="str">
        <f>IF($E41=0,0,NSTonghop!G41)</f>
        <v>x</v>
      </c>
      <c r="G41" s="123">
        <f>IF($E41=0,0,NSTonghop!H41)</f>
        <v>0</v>
      </c>
      <c r="H41" s="123" t="str">
        <f>IF($E41=0,0,NSTonghop!I41)</f>
        <v>06/08/1981</v>
      </c>
      <c r="I41" s="125">
        <f t="shared" si="0"/>
        <v>0</v>
      </c>
      <c r="J41" s="125">
        <f t="shared" si="1"/>
        <v>1981</v>
      </c>
      <c r="K41" s="123" t="str">
        <f>IF($E41=0,0,NSTonghop!L41)</f>
        <v>GV</v>
      </c>
      <c r="L41" s="123">
        <f>IF($E41=0,0,NSTonghop!M41)</f>
        <v>0</v>
      </c>
      <c r="M41" s="123" t="str">
        <f>IF($E41=0,0,NSTonghop!N41)</f>
        <v>x</v>
      </c>
      <c r="N41" s="123" t="str">
        <f>IF($E41=0,0,NSTonghop!O41)</f>
        <v>CNV</v>
      </c>
      <c r="O41" s="123" t="str">
        <f>IF($E41=0,0,NSTonghop!P41)</f>
        <v>Cô Tô-An Giang</v>
      </c>
      <c r="P41" s="123" t="str">
        <f>IF($E41=0,0,NSTonghop!Q41)</f>
        <v>Cô Tô-Tri Tôn</v>
      </c>
      <c r="Q41" s="123" t="str">
        <f>IF($E41=0,0,NSTonghop!R41)</f>
        <v>Vĩnh Phú-VTT</v>
      </c>
      <c r="R41" s="123" t="str">
        <f>IF($E41=0,0,NSTonghop!S41)</f>
        <v>PTTH/99/TB</v>
      </c>
      <c r="S41" s="123" t="str">
        <f>IF($E41=0,0,NSTonghop!T41)</f>
        <v>CĐ3/Sử-GDCD/02/TBK</v>
      </c>
      <c r="T41" s="123" t="str">
        <f>IF($E41=0,0,NSTonghop!U41)</f>
        <v>ĐHTX/Sử/09/TBK</v>
      </c>
      <c r="U41" s="123">
        <f>IF($E41=0,0,NSTonghop!V41)</f>
        <v>0</v>
      </c>
      <c r="V41" s="123" t="str">
        <f>IF($E41=0,0,NSTonghop!W41)</f>
        <v>ĐHTX</v>
      </c>
      <c r="W41" s="241">
        <f>IF($E41=0,0,NSTonghop!Z41)</f>
        <v>0</v>
      </c>
      <c r="X41" s="241" t="str">
        <f>IF($E41=0,0,NSTonghop!AA41)</f>
        <v>SC/18</v>
      </c>
      <c r="Y41" s="241" t="str">
        <f>IF($E41=0,0,NSTonghop!AB41)</f>
        <v>A/08/TB</v>
      </c>
      <c r="Z41" s="241" t="str">
        <f>IF($E41=0,0,NSTonghop!AC41)</f>
        <v>A/Anh/13/Khá</v>
      </c>
      <c r="AA41" s="241">
        <f>IF($E41=0,0,NSTonghop!AD41)</f>
        <v>0</v>
      </c>
      <c r="AB41" s="241">
        <f>IF($E41=0,0,NSTonghop!AE41)</f>
        <v>0</v>
      </c>
      <c r="AC41" s="241">
        <f>IF($E41=0,0,NSTonghop!AF41)</f>
        <v>0</v>
      </c>
      <c r="AD41" s="241" t="str">
        <f>IF($E41=0,0,NSTonghop!AH41)</f>
        <v>CN/07/Khá</v>
      </c>
      <c r="AE41" s="241">
        <f>IF($E41=0,0,NSTonghop!AJ41)</f>
        <v>351441328</v>
      </c>
      <c r="AF41" s="241" t="str">
        <f>IF($E41=0,0,NSTonghop!AK41)</f>
        <v>26/11/2008</v>
      </c>
      <c r="AG41" s="241" t="str">
        <f>IF($E41=0,0,NSTonghop!AL41)</f>
        <v>01/09/2002</v>
      </c>
      <c r="AH41" s="241" t="str">
        <f>IF($E41=0,0,NSTonghop!AO41)</f>
        <v>22/11/2008</v>
      </c>
      <c r="AI41" s="241" t="str">
        <f>IF($E41=0,0,NSTonghop!AP41)</f>
        <v>31.038 078</v>
      </c>
      <c r="AJ41" s="241">
        <f>IF($E41=0,0,NSTonghop!AQ41)</f>
        <v>2008</v>
      </c>
      <c r="AK41" s="241" t="str">
        <f>IF($E41=0,0,NSTonghop!AT41)</f>
        <v>0987076759</v>
      </c>
      <c r="AL41" s="212"/>
    </row>
    <row r="42" spans="1:38" hidden="1" x14ac:dyDescent="0.25">
      <c r="A42" s="220"/>
      <c r="B42" s="173">
        <f>IF(E42=0,0,MAX($B$8:B41)+1)</f>
        <v>0</v>
      </c>
      <c r="C42" s="174">
        <f>IF(E42=0,0,MAX($C$34:C41)+1)</f>
        <v>0</v>
      </c>
      <c r="D42" s="173">
        <f>IF(NSTonghop!AO42="",0,NSTonghop!E42)</f>
        <v>0</v>
      </c>
      <c r="E42" s="173">
        <f>IF(NSTonghop!AO42="",0,NSTonghop!F42)</f>
        <v>0</v>
      </c>
      <c r="F42" s="145">
        <f>IF($E42=0,0,NSTonghop!G42)</f>
        <v>0</v>
      </c>
      <c r="G42" s="145">
        <f>IF($E42=0,0,NSTonghop!H42)</f>
        <v>0</v>
      </c>
      <c r="H42" s="145">
        <f>IF($E42=0,0,NSTonghop!I42)</f>
        <v>0</v>
      </c>
      <c r="I42" s="147">
        <f t="shared" si="0"/>
        <v>0</v>
      </c>
      <c r="J42" s="147">
        <f t="shared" si="1"/>
        <v>0</v>
      </c>
      <c r="K42" s="145">
        <f>IF($E42=0,0,NSTonghop!L42)</f>
        <v>0</v>
      </c>
      <c r="L42" s="145">
        <f>IF($E42=0,0,NSTonghop!M42)</f>
        <v>0</v>
      </c>
      <c r="M42" s="145">
        <f>IF($E42=0,0,NSTonghop!N42)</f>
        <v>0</v>
      </c>
      <c r="N42" s="145">
        <f>IF($E42=0,0,NSTonghop!O42)</f>
        <v>0</v>
      </c>
      <c r="O42" s="145">
        <f>IF($E42=0,0,NSTonghop!P42)</f>
        <v>0</v>
      </c>
      <c r="P42" s="145">
        <f>IF($E42=0,0,NSTonghop!Q42)</f>
        <v>0</v>
      </c>
      <c r="Q42" s="145">
        <f>IF($E42=0,0,NSTonghop!R42)</f>
        <v>0</v>
      </c>
      <c r="R42" s="145">
        <f>IF($E42=0,0,NSTonghop!S42)</f>
        <v>0</v>
      </c>
      <c r="S42" s="145">
        <f>IF($E42=0,0,NSTonghop!T42)</f>
        <v>0</v>
      </c>
      <c r="T42" s="145">
        <f>IF($E42=0,0,NSTonghop!U42)</f>
        <v>0</v>
      </c>
      <c r="U42" s="145">
        <f>IF($E42=0,0,NSTonghop!V42)</f>
        <v>0</v>
      </c>
      <c r="V42" s="145">
        <f>IF($E42=0,0,NSTonghop!W42)</f>
        <v>0</v>
      </c>
      <c r="W42" s="242">
        <f>IF($E42=0,0,NSTonghop!Z42)</f>
        <v>0</v>
      </c>
      <c r="X42" s="242">
        <f>IF($E42=0,0,NSTonghop!AA42)</f>
        <v>0</v>
      </c>
      <c r="Y42" s="242">
        <f>IF($E42=0,0,NSTonghop!AB42)</f>
        <v>0</v>
      </c>
      <c r="Z42" s="242">
        <f>IF($E42=0,0,NSTonghop!AC42)</f>
        <v>0</v>
      </c>
      <c r="AA42" s="242">
        <f>IF($E42=0,0,NSTonghop!AD42)</f>
        <v>0</v>
      </c>
      <c r="AB42" s="242">
        <f>IF($E42=0,0,NSTonghop!AE42)</f>
        <v>0</v>
      </c>
      <c r="AC42" s="242">
        <f>IF($E42=0,0,NSTonghop!AF42)</f>
        <v>0</v>
      </c>
      <c r="AD42" s="242">
        <f>IF($E42=0,0,NSTonghop!AH42)</f>
        <v>0</v>
      </c>
      <c r="AE42" s="242">
        <f>IF($E42=0,0,NSTonghop!AJ42)</f>
        <v>0</v>
      </c>
      <c r="AF42" s="242">
        <f>IF($E42=0,0,NSTonghop!AK42)</f>
        <v>0</v>
      </c>
      <c r="AG42" s="242">
        <f>IF($E42=0,0,NSTonghop!AL42)</f>
        <v>0</v>
      </c>
      <c r="AH42" s="242">
        <f>IF($E42=0,0,NSTonghop!AO42)</f>
        <v>0</v>
      </c>
      <c r="AI42" s="242">
        <f>IF($E42=0,0,NSTonghop!AP42)</f>
        <v>0</v>
      </c>
      <c r="AJ42" s="242">
        <f>IF($E42=0,0,NSTonghop!AQ42)</f>
        <v>0</v>
      </c>
      <c r="AK42" s="242">
        <f>IF($E42=0,0,NSTonghop!AT42)</f>
        <v>0</v>
      </c>
      <c r="AL42" s="212"/>
    </row>
    <row r="43" spans="1:38" s="118" customFormat="1" x14ac:dyDescent="0.25">
      <c r="A43" s="220"/>
      <c r="B43" s="122">
        <f>IF(E43=0,0,MAX($B$8:B42)+1)</f>
        <v>24</v>
      </c>
      <c r="C43" s="182">
        <f>IF(E43=0,0,1)</f>
        <v>1</v>
      </c>
      <c r="D43" s="122">
        <f>IF(NSTonghop!AO43="",0,NSTonghop!E43)</f>
        <v>0</v>
      </c>
      <c r="E43" s="122" t="str">
        <f>IF(NSTonghop!AO43="",0,NSTonghop!F43)</f>
        <v>Châu Thị Huỳnh Mai</v>
      </c>
      <c r="F43" s="123" t="str">
        <f>IF($E43=0,0,NSTonghop!G43)</f>
        <v>x</v>
      </c>
      <c r="G43" s="123">
        <f>IF($E43=0,0,NSTonghop!H43)</f>
        <v>0</v>
      </c>
      <c r="H43" s="123" t="str">
        <f>IF($E43=0,0,NSTonghop!I43)</f>
        <v>03/02/1976</v>
      </c>
      <c r="I43" s="185">
        <f t="shared" si="0"/>
        <v>0</v>
      </c>
      <c r="J43" s="185">
        <f t="shared" si="1"/>
        <v>1976</v>
      </c>
      <c r="K43" s="123" t="str">
        <f>IF($E43=0,0,NSTonghop!L43)</f>
        <v>GV</v>
      </c>
      <c r="L43" s="123">
        <f>IF($E43=0,0,NSTonghop!M43)</f>
        <v>0</v>
      </c>
      <c r="M43" s="123" t="str">
        <f>IF($E43=0,0,NSTonghop!N43)</f>
        <v>x</v>
      </c>
      <c r="N43" s="123" t="str">
        <f>IF($E43=0,0,NSTonghop!O43)</f>
        <v>Viên chức</v>
      </c>
      <c r="O43" s="123" t="str">
        <f>IF($E43=0,0,NSTonghop!P43)</f>
        <v>Vĩnh Tế-An Giang</v>
      </c>
      <c r="P43" s="123" t="str">
        <f>IF($E43=0,0,NSTonghop!Q43)</f>
        <v>Vĩnh Tế-Châu Đốc</v>
      </c>
      <c r="Q43" s="123" t="str">
        <f>IF($E43=0,0,NSTonghop!R43)</f>
        <v>Vĩnh Hưng-VTT</v>
      </c>
      <c r="R43" s="123" t="str">
        <f>IF($E43=0,0,NSTonghop!S43)</f>
        <v>PTTH/93/Khá</v>
      </c>
      <c r="S43" s="123" t="str">
        <f>IF($E43=0,0,NSTonghop!T43)</f>
        <v>CĐ3/Anh/96/Giỏi</v>
      </c>
      <c r="T43" s="123" t="str">
        <f>IF($E43=0,0,NSTonghop!U43)</f>
        <v>ĐHTC/Anh/02/Khá</v>
      </c>
      <c r="U43" s="123">
        <f>IF($E43=0,0,NSTonghop!V43)</f>
        <v>0</v>
      </c>
      <c r="V43" s="123" t="str">
        <f>IF($E43=0,0,NSTonghop!W43)</f>
        <v>ĐHTC</v>
      </c>
      <c r="W43" s="241">
        <f>IF($E43=0,0,NSTonghop!Z43)</f>
        <v>0</v>
      </c>
      <c r="X43" s="241" t="str">
        <f>IF($E43=0,0,NSTonghop!AA43)</f>
        <v>SC/18</v>
      </c>
      <c r="Y43" s="241" t="str">
        <f>IF($E43=0,0,NSTonghop!AB43)</f>
        <v>A/04/Giỏi</v>
      </c>
      <c r="Z43" s="241" t="str">
        <f>IF($E43=0,0,NSTonghop!AC43)</f>
        <v>B2/Anh/13</v>
      </c>
      <c r="AA43" s="241" t="str">
        <f>IF($E43=0,0,NSTonghop!AD43)</f>
        <v>A/Pháp/10/Khá</v>
      </c>
      <c r="AB43" s="241" t="str">
        <f>IF($E43=0,0,NSTonghop!AE43)</f>
        <v>B/Anh/95/TB</v>
      </c>
      <c r="AC43" s="241" t="str">
        <f>IF($E43=0,0,NSTonghop!AF43)</f>
        <v>A2/Pháp/16</v>
      </c>
      <c r="AD43" s="241" t="str">
        <f>IF($E43=0,0,NSTonghop!AH43)</f>
        <v>CN/10/Giỏi</v>
      </c>
      <c r="AE43" s="241">
        <f>IF($E43=0,0,NSTonghop!AJ43)</f>
        <v>351235241</v>
      </c>
      <c r="AF43" s="241" t="str">
        <f>IF($E43=0,0,NSTonghop!AK43)</f>
        <v>18/11/2010</v>
      </c>
      <c r="AG43" s="241" t="str">
        <f>IF($E43=0,0,NSTonghop!AL43)</f>
        <v>01/09/1996</v>
      </c>
      <c r="AH43" s="241" t="str">
        <f>IF($E43=0,0,NSTonghop!AO43)</f>
        <v>22/11/2008</v>
      </c>
      <c r="AI43" s="241" t="str">
        <f>IF($E43=0,0,NSTonghop!AP43)</f>
        <v>31.038 081</v>
      </c>
      <c r="AJ43" s="241">
        <f>IF($E43=0,0,NSTonghop!AQ43)</f>
        <v>2008</v>
      </c>
      <c r="AK43" s="241" t="str">
        <f>IF($E43=0,0,NSTonghop!AT43)</f>
        <v>0365858855</v>
      </c>
      <c r="AL43" s="212"/>
    </row>
    <row r="44" spans="1:38" s="118" customFormat="1" hidden="1" x14ac:dyDescent="0.25">
      <c r="A44" s="220"/>
      <c r="B44" s="128">
        <f>IF(E44=0,0,MAX($B$8:B43)+1)</f>
        <v>0</v>
      </c>
      <c r="C44" s="132">
        <f>IF(E44=0,0,MAX($C$43:C43)+1)</f>
        <v>0</v>
      </c>
      <c r="D44" s="128">
        <f>IF(NSTonghop!AO44="",0,NSTonghop!E44)</f>
        <v>0</v>
      </c>
      <c r="E44" s="128">
        <f>IF(NSTonghop!AO44="",0,NSTonghop!F44)</f>
        <v>0</v>
      </c>
      <c r="F44" s="123">
        <f>IF($E44=0,0,NSTonghop!G44)</f>
        <v>0</v>
      </c>
      <c r="G44" s="123">
        <f>IF($E44=0,0,NSTonghop!H44)</f>
        <v>0</v>
      </c>
      <c r="H44" s="123">
        <f>IF($E44=0,0,NSTonghop!I44)</f>
        <v>0</v>
      </c>
      <c r="I44" s="125">
        <f t="shared" si="0"/>
        <v>0</v>
      </c>
      <c r="J44" s="125">
        <f t="shared" si="1"/>
        <v>0</v>
      </c>
      <c r="K44" s="123">
        <f>IF($E44=0,0,NSTonghop!L44)</f>
        <v>0</v>
      </c>
      <c r="L44" s="123">
        <f>IF($E44=0,0,NSTonghop!M44)</f>
        <v>0</v>
      </c>
      <c r="M44" s="123">
        <f>IF($E44=0,0,NSTonghop!N44)</f>
        <v>0</v>
      </c>
      <c r="N44" s="123">
        <f>IF($E44=0,0,NSTonghop!O44)</f>
        <v>0</v>
      </c>
      <c r="O44" s="123">
        <f>IF($E44=0,0,NSTonghop!P44)</f>
        <v>0</v>
      </c>
      <c r="P44" s="123">
        <f>IF($E44=0,0,NSTonghop!Q44)</f>
        <v>0</v>
      </c>
      <c r="Q44" s="123">
        <f>IF($E44=0,0,NSTonghop!R44)</f>
        <v>0</v>
      </c>
      <c r="R44" s="123">
        <f>IF($E44=0,0,NSTonghop!S44)</f>
        <v>0</v>
      </c>
      <c r="S44" s="123">
        <f>IF($E44=0,0,NSTonghop!T44)</f>
        <v>0</v>
      </c>
      <c r="T44" s="123">
        <f>IF($E44=0,0,NSTonghop!U44)</f>
        <v>0</v>
      </c>
      <c r="U44" s="123">
        <f>IF($E44=0,0,NSTonghop!V44)</f>
        <v>0</v>
      </c>
      <c r="V44" s="123">
        <f>IF($E44=0,0,NSTonghop!W44)</f>
        <v>0</v>
      </c>
      <c r="W44" s="241">
        <f>IF($E44=0,0,NSTonghop!Z44)</f>
        <v>0</v>
      </c>
      <c r="X44" s="241">
        <f>IF($E44=0,0,NSTonghop!AA44)</f>
        <v>0</v>
      </c>
      <c r="Y44" s="241">
        <f>IF($E44=0,0,NSTonghop!AB44)</f>
        <v>0</v>
      </c>
      <c r="Z44" s="241">
        <f>IF($E44=0,0,NSTonghop!AC44)</f>
        <v>0</v>
      </c>
      <c r="AA44" s="241">
        <f>IF($E44=0,0,NSTonghop!AD44)</f>
        <v>0</v>
      </c>
      <c r="AB44" s="241">
        <f>IF($E44=0,0,NSTonghop!AE44)</f>
        <v>0</v>
      </c>
      <c r="AC44" s="241">
        <f>IF($E44=0,0,NSTonghop!AF44)</f>
        <v>0</v>
      </c>
      <c r="AD44" s="241">
        <f>IF($E44=0,0,NSTonghop!AH44)</f>
        <v>0</v>
      </c>
      <c r="AE44" s="241">
        <f>IF($E44=0,0,NSTonghop!AJ44)</f>
        <v>0</v>
      </c>
      <c r="AF44" s="241">
        <f>IF($E44=0,0,NSTonghop!AK44)</f>
        <v>0</v>
      </c>
      <c r="AG44" s="241">
        <f>IF($E44=0,0,NSTonghop!AL44)</f>
        <v>0</v>
      </c>
      <c r="AH44" s="241">
        <f>IF($E44=0,0,NSTonghop!AO44)</f>
        <v>0</v>
      </c>
      <c r="AI44" s="241">
        <f>IF($E44=0,0,NSTonghop!AP44)</f>
        <v>0</v>
      </c>
      <c r="AJ44" s="241">
        <f>IF($E44=0,0,NSTonghop!AQ44)</f>
        <v>0</v>
      </c>
      <c r="AK44" s="241">
        <f>IF($E44=0,0,NSTonghop!AT44)</f>
        <v>0</v>
      </c>
      <c r="AL44" s="212"/>
    </row>
    <row r="45" spans="1:38" s="118" customFormat="1" hidden="1" x14ac:dyDescent="0.25">
      <c r="A45" s="220"/>
      <c r="B45" s="128">
        <f>IF(E45=0,0,MAX($B$8:B44)+1)</f>
        <v>0</v>
      </c>
      <c r="C45" s="132">
        <f>IF(E45=0,0,MAX($C$43:C44)+1)</f>
        <v>0</v>
      </c>
      <c r="D45" s="128">
        <f>IF(NSTonghop!AO45="",0,NSTonghop!E45)</f>
        <v>0</v>
      </c>
      <c r="E45" s="128">
        <f>IF(NSTonghop!AO45="",0,NSTonghop!F45)</f>
        <v>0</v>
      </c>
      <c r="F45" s="123">
        <f>IF($E45=0,0,NSTonghop!G45)</f>
        <v>0</v>
      </c>
      <c r="G45" s="123">
        <f>IF($E45=0,0,NSTonghop!H45)</f>
        <v>0</v>
      </c>
      <c r="H45" s="123">
        <f>IF($E45=0,0,NSTonghop!I45)</f>
        <v>0</v>
      </c>
      <c r="I45" s="125">
        <f t="shared" si="0"/>
        <v>0</v>
      </c>
      <c r="J45" s="125">
        <f t="shared" si="1"/>
        <v>0</v>
      </c>
      <c r="K45" s="123">
        <f>IF($E45=0,0,NSTonghop!L45)</f>
        <v>0</v>
      </c>
      <c r="L45" s="123">
        <f>IF($E45=0,0,NSTonghop!M45)</f>
        <v>0</v>
      </c>
      <c r="M45" s="123">
        <f>IF($E45=0,0,NSTonghop!N45)</f>
        <v>0</v>
      </c>
      <c r="N45" s="123">
        <f>IF($E45=0,0,NSTonghop!O45)</f>
        <v>0</v>
      </c>
      <c r="O45" s="123">
        <f>IF($E45=0,0,NSTonghop!P45)</f>
        <v>0</v>
      </c>
      <c r="P45" s="123">
        <f>IF($E45=0,0,NSTonghop!Q45)</f>
        <v>0</v>
      </c>
      <c r="Q45" s="123">
        <f>IF($E45=0,0,NSTonghop!R45)</f>
        <v>0</v>
      </c>
      <c r="R45" s="123">
        <f>IF($E45=0,0,NSTonghop!S45)</f>
        <v>0</v>
      </c>
      <c r="S45" s="123">
        <f>IF($E45=0,0,NSTonghop!T45)</f>
        <v>0</v>
      </c>
      <c r="T45" s="123">
        <f>IF($E45=0,0,NSTonghop!U45)</f>
        <v>0</v>
      </c>
      <c r="U45" s="123">
        <f>IF($E45=0,0,NSTonghop!V45)</f>
        <v>0</v>
      </c>
      <c r="V45" s="123">
        <f>IF($E45=0,0,NSTonghop!W45)</f>
        <v>0</v>
      </c>
      <c r="W45" s="241">
        <f>IF($E45=0,0,NSTonghop!Z45)</f>
        <v>0</v>
      </c>
      <c r="X45" s="241">
        <f>IF($E45=0,0,NSTonghop!AA45)</f>
        <v>0</v>
      </c>
      <c r="Y45" s="241">
        <f>IF($E45=0,0,NSTonghop!AB45)</f>
        <v>0</v>
      </c>
      <c r="Z45" s="241">
        <f>IF($E45=0,0,NSTonghop!AC45)</f>
        <v>0</v>
      </c>
      <c r="AA45" s="241">
        <f>IF($E45=0,0,NSTonghop!AD45)</f>
        <v>0</v>
      </c>
      <c r="AB45" s="241">
        <f>IF($E45=0,0,NSTonghop!AE45)</f>
        <v>0</v>
      </c>
      <c r="AC45" s="241">
        <f>IF($E45=0,0,NSTonghop!AF45)</f>
        <v>0</v>
      </c>
      <c r="AD45" s="241">
        <f>IF($E45=0,0,NSTonghop!AH45)</f>
        <v>0</v>
      </c>
      <c r="AE45" s="241">
        <f>IF($E45=0,0,NSTonghop!AJ45)</f>
        <v>0</v>
      </c>
      <c r="AF45" s="241">
        <f>IF($E45=0,0,NSTonghop!AK45)</f>
        <v>0</v>
      </c>
      <c r="AG45" s="241">
        <f>IF($E45=0,0,NSTonghop!AL45)</f>
        <v>0</v>
      </c>
      <c r="AH45" s="241">
        <f>IF($E45=0,0,NSTonghop!AO45)</f>
        <v>0</v>
      </c>
      <c r="AI45" s="241">
        <f>IF($E45=0,0,NSTonghop!AP45)</f>
        <v>0</v>
      </c>
      <c r="AJ45" s="241">
        <f>IF($E45=0,0,NSTonghop!AQ45)</f>
        <v>0</v>
      </c>
      <c r="AK45" s="241">
        <f>IF($E45=0,0,NSTonghop!AT45)</f>
        <v>0</v>
      </c>
      <c r="AL45" s="212"/>
    </row>
    <row r="46" spans="1:38" s="118" customFormat="1" hidden="1" x14ac:dyDescent="0.25">
      <c r="A46" s="220"/>
      <c r="B46" s="128">
        <f>IF(E46=0,0,MAX($B$8:B45)+1)</f>
        <v>0</v>
      </c>
      <c r="C46" s="132">
        <f>IF(E46=0,0,MAX($C$43:C45)+1)</f>
        <v>0</v>
      </c>
      <c r="D46" s="128">
        <f>IF(NSTonghop!AO46="",0,NSTonghop!E46)</f>
        <v>0</v>
      </c>
      <c r="E46" s="128">
        <f>IF(NSTonghop!AO46="",0,NSTonghop!F46)</f>
        <v>0</v>
      </c>
      <c r="F46" s="123">
        <f>IF($E46=0,0,NSTonghop!G46)</f>
        <v>0</v>
      </c>
      <c r="G46" s="123">
        <f>IF($E46=0,0,NSTonghop!H46)</f>
        <v>0</v>
      </c>
      <c r="H46" s="123">
        <f>IF($E46=0,0,NSTonghop!I46)</f>
        <v>0</v>
      </c>
      <c r="I46" s="125">
        <f t="shared" si="0"/>
        <v>0</v>
      </c>
      <c r="J46" s="125">
        <f t="shared" si="1"/>
        <v>0</v>
      </c>
      <c r="K46" s="123">
        <f>IF($E46=0,0,NSTonghop!L46)</f>
        <v>0</v>
      </c>
      <c r="L46" s="123">
        <f>IF($E46=0,0,NSTonghop!M46)</f>
        <v>0</v>
      </c>
      <c r="M46" s="123">
        <f>IF($E46=0,0,NSTonghop!N46)</f>
        <v>0</v>
      </c>
      <c r="N46" s="123">
        <f>IF($E46=0,0,NSTonghop!O46)</f>
        <v>0</v>
      </c>
      <c r="O46" s="123">
        <f>IF($E46=0,0,NSTonghop!P46)</f>
        <v>0</v>
      </c>
      <c r="P46" s="123">
        <f>IF($E46=0,0,NSTonghop!Q46)</f>
        <v>0</v>
      </c>
      <c r="Q46" s="123">
        <f>IF($E46=0,0,NSTonghop!R46)</f>
        <v>0</v>
      </c>
      <c r="R46" s="123">
        <f>IF($E46=0,0,NSTonghop!S46)</f>
        <v>0</v>
      </c>
      <c r="S46" s="123">
        <f>IF($E46=0,0,NSTonghop!T46)</f>
        <v>0</v>
      </c>
      <c r="T46" s="123">
        <f>IF($E46=0,0,NSTonghop!U46)</f>
        <v>0</v>
      </c>
      <c r="U46" s="123">
        <f>IF($E46=0,0,NSTonghop!V46)</f>
        <v>0</v>
      </c>
      <c r="V46" s="123">
        <f>IF($E46=0,0,NSTonghop!W46)</f>
        <v>0</v>
      </c>
      <c r="W46" s="241">
        <f>IF($E46=0,0,NSTonghop!Z46)</f>
        <v>0</v>
      </c>
      <c r="X46" s="241">
        <f>IF($E46=0,0,NSTonghop!AA46)</f>
        <v>0</v>
      </c>
      <c r="Y46" s="241">
        <f>IF($E46=0,0,NSTonghop!AB46)</f>
        <v>0</v>
      </c>
      <c r="Z46" s="241">
        <f>IF($E46=0,0,NSTonghop!AC46)</f>
        <v>0</v>
      </c>
      <c r="AA46" s="241">
        <f>IF($E46=0,0,NSTonghop!AD46)</f>
        <v>0</v>
      </c>
      <c r="AB46" s="241">
        <f>IF($E46=0,0,NSTonghop!AE46)</f>
        <v>0</v>
      </c>
      <c r="AC46" s="241">
        <f>IF($E46=0,0,NSTonghop!AF46)</f>
        <v>0</v>
      </c>
      <c r="AD46" s="241">
        <f>IF($E46=0,0,NSTonghop!AH46)</f>
        <v>0</v>
      </c>
      <c r="AE46" s="241">
        <f>IF($E46=0,0,NSTonghop!AJ46)</f>
        <v>0</v>
      </c>
      <c r="AF46" s="241">
        <f>IF($E46=0,0,NSTonghop!AK46)</f>
        <v>0</v>
      </c>
      <c r="AG46" s="241">
        <f>IF($E46=0,0,NSTonghop!AL46)</f>
        <v>0</v>
      </c>
      <c r="AH46" s="241">
        <f>IF($E46=0,0,NSTonghop!AO46)</f>
        <v>0</v>
      </c>
      <c r="AI46" s="241">
        <f>IF($E46=0,0,NSTonghop!AP46)</f>
        <v>0</v>
      </c>
      <c r="AJ46" s="241">
        <f>IF($E46=0,0,NSTonghop!AQ46)</f>
        <v>0</v>
      </c>
      <c r="AK46" s="241">
        <f>IF($E46=0,0,NSTonghop!AT46)</f>
        <v>0</v>
      </c>
      <c r="AL46" s="212"/>
    </row>
    <row r="47" spans="1:38" s="118" customFormat="1" hidden="1" x14ac:dyDescent="0.25">
      <c r="A47" s="220"/>
      <c r="B47" s="128">
        <f>IF(E47=0,0,MAX($B$8:B46)+1)</f>
        <v>0</v>
      </c>
      <c r="C47" s="132">
        <f>IF(E47=0,0,MAX($C$43:C46)+1)</f>
        <v>0</v>
      </c>
      <c r="D47" s="128">
        <f>IF(NSTonghop!AO47="",0,NSTonghop!E47)</f>
        <v>0</v>
      </c>
      <c r="E47" s="128">
        <f>IF(NSTonghop!AO47="",0,NSTonghop!F47)</f>
        <v>0</v>
      </c>
      <c r="F47" s="123">
        <f>IF($E47=0,0,NSTonghop!G47)</f>
        <v>0</v>
      </c>
      <c r="G47" s="123">
        <f>IF($E47=0,0,NSTonghop!H47)</f>
        <v>0</v>
      </c>
      <c r="H47" s="123">
        <f>IF($E47=0,0,NSTonghop!I47)</f>
        <v>0</v>
      </c>
      <c r="I47" s="125">
        <f t="shared" si="0"/>
        <v>0</v>
      </c>
      <c r="J47" s="125">
        <f t="shared" si="1"/>
        <v>0</v>
      </c>
      <c r="K47" s="123">
        <f>IF($E47=0,0,NSTonghop!L47)</f>
        <v>0</v>
      </c>
      <c r="L47" s="123">
        <f>IF($E47=0,0,NSTonghop!M47)</f>
        <v>0</v>
      </c>
      <c r="M47" s="123">
        <f>IF($E47=0,0,NSTonghop!N47)</f>
        <v>0</v>
      </c>
      <c r="N47" s="123">
        <f>IF($E47=0,0,NSTonghop!O47)</f>
        <v>0</v>
      </c>
      <c r="O47" s="123">
        <f>IF($E47=0,0,NSTonghop!P47)</f>
        <v>0</v>
      </c>
      <c r="P47" s="123">
        <f>IF($E47=0,0,NSTonghop!Q47)</f>
        <v>0</v>
      </c>
      <c r="Q47" s="123">
        <f>IF($E47=0,0,NSTonghop!R47)</f>
        <v>0</v>
      </c>
      <c r="R47" s="123">
        <f>IF($E47=0,0,NSTonghop!S47)</f>
        <v>0</v>
      </c>
      <c r="S47" s="123">
        <f>IF($E47=0,0,NSTonghop!T47)</f>
        <v>0</v>
      </c>
      <c r="T47" s="123">
        <f>IF($E47=0,0,NSTonghop!U47)</f>
        <v>0</v>
      </c>
      <c r="U47" s="123">
        <f>IF($E47=0,0,NSTonghop!V47)</f>
        <v>0</v>
      </c>
      <c r="V47" s="123">
        <f>IF($E47=0,0,NSTonghop!W47)</f>
        <v>0</v>
      </c>
      <c r="W47" s="241">
        <f>IF($E47=0,0,NSTonghop!Z47)</f>
        <v>0</v>
      </c>
      <c r="X47" s="241">
        <f>IF($E47=0,0,NSTonghop!AA47)</f>
        <v>0</v>
      </c>
      <c r="Y47" s="241">
        <f>IF($E47=0,0,NSTonghop!AB47)</f>
        <v>0</v>
      </c>
      <c r="Z47" s="241">
        <f>IF($E47=0,0,NSTonghop!AC47)</f>
        <v>0</v>
      </c>
      <c r="AA47" s="241">
        <f>IF($E47=0,0,NSTonghop!AD47)</f>
        <v>0</v>
      </c>
      <c r="AB47" s="241">
        <f>IF($E47=0,0,NSTonghop!AE47)</f>
        <v>0</v>
      </c>
      <c r="AC47" s="241">
        <f>IF($E47=0,0,NSTonghop!AF47)</f>
        <v>0</v>
      </c>
      <c r="AD47" s="241">
        <f>IF($E47=0,0,NSTonghop!AH47)</f>
        <v>0</v>
      </c>
      <c r="AE47" s="241">
        <f>IF($E47=0,0,NSTonghop!AJ47)</f>
        <v>0</v>
      </c>
      <c r="AF47" s="241">
        <f>IF($E47=0,0,NSTonghop!AK47)</f>
        <v>0</v>
      </c>
      <c r="AG47" s="241">
        <f>IF($E47=0,0,NSTonghop!AL47)</f>
        <v>0</v>
      </c>
      <c r="AH47" s="241">
        <f>IF($E47=0,0,NSTonghop!AO47)</f>
        <v>0</v>
      </c>
      <c r="AI47" s="241">
        <f>IF($E47=0,0,NSTonghop!AP47)</f>
        <v>0</v>
      </c>
      <c r="AJ47" s="241">
        <f>IF($E47=0,0,NSTonghop!AQ47)</f>
        <v>0</v>
      </c>
      <c r="AK47" s="241">
        <f>IF($E47=0,0,NSTonghop!AT47)</f>
        <v>0</v>
      </c>
      <c r="AL47" s="212"/>
    </row>
    <row r="48" spans="1:38" s="118" customFormat="1" hidden="1" x14ac:dyDescent="0.25">
      <c r="A48" s="220"/>
      <c r="B48" s="128">
        <f>IF(E48=0,0,MAX($B$8:B47)+1)</f>
        <v>0</v>
      </c>
      <c r="C48" s="132">
        <f>IF(E48=0,0,MAX($C$43:C47)+1)</f>
        <v>0</v>
      </c>
      <c r="D48" s="128">
        <f>IF(NSTonghop!AO48="",0,NSTonghop!E48)</f>
        <v>0</v>
      </c>
      <c r="E48" s="128">
        <f>IF(NSTonghop!AO48="",0,NSTonghop!F48)</f>
        <v>0</v>
      </c>
      <c r="F48" s="123">
        <f>IF($E48=0,0,NSTonghop!G48)</f>
        <v>0</v>
      </c>
      <c r="G48" s="123">
        <f>IF($E48=0,0,NSTonghop!H48)</f>
        <v>0</v>
      </c>
      <c r="H48" s="123">
        <f>IF($E48=0,0,NSTonghop!I48)</f>
        <v>0</v>
      </c>
      <c r="I48" s="125">
        <f t="shared" si="0"/>
        <v>0</v>
      </c>
      <c r="J48" s="125">
        <f t="shared" si="1"/>
        <v>0</v>
      </c>
      <c r="K48" s="123">
        <f>IF($E48=0,0,NSTonghop!L48)</f>
        <v>0</v>
      </c>
      <c r="L48" s="123">
        <f>IF($E48=0,0,NSTonghop!M48)</f>
        <v>0</v>
      </c>
      <c r="M48" s="123">
        <f>IF($E48=0,0,NSTonghop!N48)</f>
        <v>0</v>
      </c>
      <c r="N48" s="123">
        <f>IF($E48=0,0,NSTonghop!O48)</f>
        <v>0</v>
      </c>
      <c r="O48" s="123">
        <f>IF($E48=0,0,NSTonghop!P48)</f>
        <v>0</v>
      </c>
      <c r="P48" s="123">
        <f>IF($E48=0,0,NSTonghop!Q48)</f>
        <v>0</v>
      </c>
      <c r="Q48" s="123">
        <f>IF($E48=0,0,NSTonghop!R48)</f>
        <v>0</v>
      </c>
      <c r="R48" s="123">
        <f>IF($E48=0,0,NSTonghop!S48)</f>
        <v>0</v>
      </c>
      <c r="S48" s="123">
        <f>IF($E48=0,0,NSTonghop!T48)</f>
        <v>0</v>
      </c>
      <c r="T48" s="123">
        <f>IF($E48=0,0,NSTonghop!U48)</f>
        <v>0</v>
      </c>
      <c r="U48" s="123">
        <f>IF($E48=0,0,NSTonghop!V48)</f>
        <v>0</v>
      </c>
      <c r="V48" s="123">
        <f>IF($E48=0,0,NSTonghop!W48)</f>
        <v>0</v>
      </c>
      <c r="W48" s="241">
        <f>IF($E48=0,0,NSTonghop!Z48)</f>
        <v>0</v>
      </c>
      <c r="X48" s="241">
        <f>IF($E48=0,0,NSTonghop!AA48)</f>
        <v>0</v>
      </c>
      <c r="Y48" s="241">
        <f>IF($E48=0,0,NSTonghop!AB48)</f>
        <v>0</v>
      </c>
      <c r="Z48" s="241">
        <f>IF($E48=0,0,NSTonghop!AC48)</f>
        <v>0</v>
      </c>
      <c r="AA48" s="241">
        <f>IF($E48=0,0,NSTonghop!AD48)</f>
        <v>0</v>
      </c>
      <c r="AB48" s="241">
        <f>IF($E48=0,0,NSTonghop!AE48)</f>
        <v>0</v>
      </c>
      <c r="AC48" s="241">
        <f>IF($E48=0,0,NSTonghop!AF48)</f>
        <v>0</v>
      </c>
      <c r="AD48" s="241">
        <f>IF($E48=0,0,NSTonghop!AH48)</f>
        <v>0</v>
      </c>
      <c r="AE48" s="241">
        <f>IF($E48=0,0,NSTonghop!AJ48)</f>
        <v>0</v>
      </c>
      <c r="AF48" s="241">
        <f>IF($E48=0,0,NSTonghop!AK48)</f>
        <v>0</v>
      </c>
      <c r="AG48" s="241">
        <f>IF($E48=0,0,NSTonghop!AL48)</f>
        <v>0</v>
      </c>
      <c r="AH48" s="241">
        <f>IF($E48=0,0,NSTonghop!AO48)</f>
        <v>0</v>
      </c>
      <c r="AI48" s="241">
        <f>IF($E48=0,0,NSTonghop!AP48)</f>
        <v>0</v>
      </c>
      <c r="AJ48" s="241">
        <f>IF($E48=0,0,NSTonghop!AQ48)</f>
        <v>0</v>
      </c>
      <c r="AK48" s="241">
        <f>IF($E48=0,0,NSTonghop!AT48)</f>
        <v>0</v>
      </c>
      <c r="AL48" s="212"/>
    </row>
    <row r="49" spans="1:38" s="118" customFormat="1" hidden="1" x14ac:dyDescent="0.25">
      <c r="A49" s="220"/>
      <c r="B49" s="142">
        <f>IF(E49=0,0,MAX($B$8:B48)+1)</f>
        <v>0</v>
      </c>
      <c r="C49" s="143">
        <f>IF(E49=0,0,MAX($C$43:C48)+1)</f>
        <v>0</v>
      </c>
      <c r="D49" s="142">
        <f>IF(NSTonghop!AO49="",0,NSTonghop!E49)</f>
        <v>0</v>
      </c>
      <c r="E49" s="142">
        <f>IF(NSTonghop!AO49="",0,NSTonghop!F49)</f>
        <v>0</v>
      </c>
      <c r="F49" s="145">
        <f>IF($E49=0,0,NSTonghop!G49)</f>
        <v>0</v>
      </c>
      <c r="G49" s="145">
        <f>IF($E49=0,0,NSTonghop!H49)</f>
        <v>0</v>
      </c>
      <c r="H49" s="145">
        <f>IF($E49=0,0,NSTonghop!I49)</f>
        <v>0</v>
      </c>
      <c r="I49" s="147">
        <f t="shared" si="0"/>
        <v>0</v>
      </c>
      <c r="J49" s="147">
        <f t="shared" si="1"/>
        <v>0</v>
      </c>
      <c r="K49" s="145">
        <f>IF($E49=0,0,NSTonghop!L49)</f>
        <v>0</v>
      </c>
      <c r="L49" s="145">
        <f>IF($E49=0,0,NSTonghop!M49)</f>
        <v>0</v>
      </c>
      <c r="M49" s="145">
        <f>IF($E49=0,0,NSTonghop!N49)</f>
        <v>0</v>
      </c>
      <c r="N49" s="145">
        <f>IF($E49=0,0,NSTonghop!O49)</f>
        <v>0</v>
      </c>
      <c r="O49" s="145">
        <f>IF($E49=0,0,NSTonghop!P49)</f>
        <v>0</v>
      </c>
      <c r="P49" s="145">
        <f>IF($E49=0,0,NSTonghop!Q49)</f>
        <v>0</v>
      </c>
      <c r="Q49" s="145">
        <f>IF($E49=0,0,NSTonghop!R49)</f>
        <v>0</v>
      </c>
      <c r="R49" s="145">
        <f>IF($E49=0,0,NSTonghop!S49)</f>
        <v>0</v>
      </c>
      <c r="S49" s="145">
        <f>IF($E49=0,0,NSTonghop!T49)</f>
        <v>0</v>
      </c>
      <c r="T49" s="145">
        <f>IF($E49=0,0,NSTonghop!U49)</f>
        <v>0</v>
      </c>
      <c r="U49" s="145">
        <f>IF($E49=0,0,NSTonghop!V49)</f>
        <v>0</v>
      </c>
      <c r="V49" s="145">
        <f>IF($E49=0,0,NSTonghop!W49)</f>
        <v>0</v>
      </c>
      <c r="W49" s="242">
        <f>IF($E49=0,0,NSTonghop!Z49)</f>
        <v>0</v>
      </c>
      <c r="X49" s="242">
        <f>IF($E49=0,0,NSTonghop!AA49)</f>
        <v>0</v>
      </c>
      <c r="Y49" s="242">
        <f>IF($E49=0,0,NSTonghop!AB49)</f>
        <v>0</v>
      </c>
      <c r="Z49" s="242">
        <f>IF($E49=0,0,NSTonghop!AC49)</f>
        <v>0</v>
      </c>
      <c r="AA49" s="242">
        <f>IF($E49=0,0,NSTonghop!AD49)</f>
        <v>0</v>
      </c>
      <c r="AB49" s="242">
        <f>IF($E49=0,0,NSTonghop!AE49)</f>
        <v>0</v>
      </c>
      <c r="AC49" s="242">
        <f>IF($E49=0,0,NSTonghop!AF49)</f>
        <v>0</v>
      </c>
      <c r="AD49" s="242">
        <f>IF($E49=0,0,NSTonghop!AH49)</f>
        <v>0</v>
      </c>
      <c r="AE49" s="242">
        <f>IF($E49=0,0,NSTonghop!AJ49)</f>
        <v>0</v>
      </c>
      <c r="AF49" s="242">
        <f>IF($E49=0,0,NSTonghop!AK49)</f>
        <v>0</v>
      </c>
      <c r="AG49" s="242">
        <f>IF($E49=0,0,NSTonghop!AL49)</f>
        <v>0</v>
      </c>
      <c r="AH49" s="242">
        <f>IF($E49=0,0,NSTonghop!AO49)</f>
        <v>0</v>
      </c>
      <c r="AI49" s="242">
        <f>IF($E49=0,0,NSTonghop!AP49)</f>
        <v>0</v>
      </c>
      <c r="AJ49" s="242">
        <f>IF($E49=0,0,NSTonghop!AQ49)</f>
        <v>0</v>
      </c>
      <c r="AK49" s="242">
        <f>IF($E49=0,0,NSTonghop!AT49)</f>
        <v>0</v>
      </c>
      <c r="AL49" s="212"/>
    </row>
    <row r="50" spans="1:38" x14ac:dyDescent="0.25">
      <c r="A50" s="220"/>
      <c r="B50" s="151">
        <f>IF(E50=0,0,MAX($B$8:B49)+1)</f>
        <v>25</v>
      </c>
      <c r="C50" s="152">
        <f>IF(E50=0,0,1)</f>
        <v>1</v>
      </c>
      <c r="D50" s="151">
        <f>IF(NSTonghop!AO50="",0,NSTonghop!E50)</f>
        <v>0</v>
      </c>
      <c r="E50" s="151" t="str">
        <f>IF(NSTonghop!AO50="",0,NSTonghop!F50)</f>
        <v>Lê Thị Bích Ngọc</v>
      </c>
      <c r="F50" s="123" t="str">
        <f>IF($E50=0,0,NSTonghop!G50)</f>
        <v>x</v>
      </c>
      <c r="G50" s="123">
        <f>IF($E50=0,0,NSTonghop!H50)</f>
        <v>0</v>
      </c>
      <c r="H50" s="123" t="str">
        <f>IF($E50=0,0,NSTonghop!I50)</f>
        <v>08/10/1979</v>
      </c>
      <c r="I50" s="185">
        <f t="shared" si="0"/>
        <v>0</v>
      </c>
      <c r="J50" s="185">
        <f t="shared" si="1"/>
        <v>1979</v>
      </c>
      <c r="K50" s="123" t="str">
        <f>IF($E50=0,0,NSTonghop!L50)</f>
        <v>GV</v>
      </c>
      <c r="L50" s="123">
        <f>IF($E50=0,0,NSTonghop!M50)</f>
        <v>0</v>
      </c>
      <c r="M50" s="123" t="str">
        <f>IF($E50=0,0,NSTonghop!N50)</f>
        <v>Phật</v>
      </c>
      <c r="N50" s="123" t="str">
        <f>IF($E50=0,0,NSTonghop!O50)</f>
        <v>Nông dân</v>
      </c>
      <c r="O50" s="123" t="str">
        <f>IF($E50=0,0,NSTonghop!P50)</f>
        <v>Cái Dầu-AG</v>
      </c>
      <c r="P50" s="123" t="str">
        <f>IF($E50=0,0,NSTonghop!Q50)</f>
        <v>Cái Dầu-Châu Phú-AG</v>
      </c>
      <c r="Q50" s="123" t="str">
        <f>IF($E50=0,0,NSTonghop!R50)</f>
        <v>Vĩnh Phúc, Cái Dầu</v>
      </c>
      <c r="R50" s="123" t="str">
        <f>IF($E50=0,0,NSTonghop!S50)</f>
        <v>PTTH/98/TB</v>
      </c>
      <c r="S50" s="123" t="str">
        <f>IF($E50=0,0,NSTonghop!T50)</f>
        <v>CĐ3/Toán-Tin/01/TB</v>
      </c>
      <c r="T50" s="123" t="str">
        <f>IF($E50=0,0,NSTonghop!U50)</f>
        <v>ĐHTX/Toán/07/Khá</v>
      </c>
      <c r="U50" s="123">
        <f>IF($E50=0,0,NSTonghop!V50)</f>
        <v>0</v>
      </c>
      <c r="V50" s="123" t="str">
        <f>IF($E50=0,0,NSTonghop!W50)</f>
        <v>ĐHTX</v>
      </c>
      <c r="W50" s="241">
        <f>IF($E50=0,0,NSTonghop!Z50)</f>
        <v>0</v>
      </c>
      <c r="X50" s="241" t="str">
        <f>IF($E50=0,0,NSTonghop!AA50)</f>
        <v>SC/14</v>
      </c>
      <c r="Y50" s="241" t="str">
        <f>IF($E50=0,0,NSTonghop!AB50)</f>
        <v>A/00/Khá</v>
      </c>
      <c r="Z50" s="241" t="str">
        <f>IF($E50=0,0,NSTonghop!AC50)</f>
        <v>A/Anh/06/TB</v>
      </c>
      <c r="AA50" s="241">
        <f>IF($E50=0,0,NSTonghop!AD50)</f>
        <v>0</v>
      </c>
      <c r="AB50" s="241">
        <f>IF($E50=0,0,NSTonghop!AE50)</f>
        <v>0</v>
      </c>
      <c r="AC50" s="241">
        <f>IF($E50=0,0,NSTonghop!AF50)</f>
        <v>0</v>
      </c>
      <c r="AD50" s="241" t="str">
        <f>IF($E50=0,0,NSTonghop!AH50)</f>
        <v>CN/07/Khá</v>
      </c>
      <c r="AE50" s="241">
        <f>IF($E50=0,0,NSTonghop!AJ50)</f>
        <v>351310081</v>
      </c>
      <c r="AF50" s="241" t="str">
        <f>IF($E50=0,0,NSTonghop!AK50)</f>
        <v>28/05/2007</v>
      </c>
      <c r="AG50" s="241" t="str">
        <f>IF($E50=0,0,NSTonghop!AL50)</f>
        <v>01/09/2001</v>
      </c>
      <c r="AH50" s="241" t="str">
        <f>IF($E50=0,0,NSTonghop!AO50)</f>
        <v>22/11/2008</v>
      </c>
      <c r="AI50" s="241" t="str">
        <f>IF($E50=0,0,NSTonghop!AP50)</f>
        <v>31.038 079</v>
      </c>
      <c r="AJ50" s="241">
        <f>IF($E50=0,0,NSTonghop!AQ50)</f>
        <v>2008</v>
      </c>
      <c r="AK50" s="241" t="str">
        <f>IF($E50=0,0,NSTonghop!AT50)</f>
        <v>0918469017</v>
      </c>
      <c r="AL50" s="212"/>
    </row>
    <row r="51" spans="1:38" hidden="1" x14ac:dyDescent="0.25">
      <c r="A51" s="220"/>
      <c r="B51" s="162">
        <f>IF(E51=0,0,MAX($B$8:B50)+1)</f>
        <v>0</v>
      </c>
      <c r="C51" s="163">
        <f>IF(E51=0,0,MAX($C$50:C50)+1)</f>
        <v>0</v>
      </c>
      <c r="D51" s="162">
        <f>IF(NSTonghop!AO51="",0,NSTonghop!E51)</f>
        <v>0</v>
      </c>
      <c r="E51" s="162">
        <f>IF(NSTonghop!AO51="",0,NSTonghop!F51)</f>
        <v>0</v>
      </c>
      <c r="F51" s="123">
        <f>IF($E51=0,0,NSTonghop!G51)</f>
        <v>0</v>
      </c>
      <c r="G51" s="123">
        <f>IF($E51=0,0,NSTonghop!H51)</f>
        <v>0</v>
      </c>
      <c r="H51" s="123">
        <f>IF($E51=0,0,NSTonghop!I51)</f>
        <v>0</v>
      </c>
      <c r="I51" s="125">
        <f t="shared" si="0"/>
        <v>0</v>
      </c>
      <c r="J51" s="125">
        <f t="shared" si="1"/>
        <v>0</v>
      </c>
      <c r="K51" s="123">
        <f>IF($E51=0,0,NSTonghop!L51)</f>
        <v>0</v>
      </c>
      <c r="L51" s="123">
        <f>IF($E51=0,0,NSTonghop!M51)</f>
        <v>0</v>
      </c>
      <c r="M51" s="123">
        <f>IF($E51=0,0,NSTonghop!N51)</f>
        <v>0</v>
      </c>
      <c r="N51" s="123">
        <f>IF($E51=0,0,NSTonghop!O51)</f>
        <v>0</v>
      </c>
      <c r="O51" s="123">
        <f>IF($E51=0,0,NSTonghop!P51)</f>
        <v>0</v>
      </c>
      <c r="P51" s="123">
        <f>IF($E51=0,0,NSTonghop!Q51)</f>
        <v>0</v>
      </c>
      <c r="Q51" s="123">
        <f>IF($E51=0,0,NSTonghop!R51)</f>
        <v>0</v>
      </c>
      <c r="R51" s="123">
        <f>IF($E51=0,0,NSTonghop!S51)</f>
        <v>0</v>
      </c>
      <c r="S51" s="123">
        <f>IF($E51=0,0,NSTonghop!T51)</f>
        <v>0</v>
      </c>
      <c r="T51" s="123">
        <f>IF($E51=0,0,NSTonghop!U51)</f>
        <v>0</v>
      </c>
      <c r="U51" s="123">
        <f>IF($E51=0,0,NSTonghop!V51)</f>
        <v>0</v>
      </c>
      <c r="V51" s="123">
        <f>IF($E51=0,0,NSTonghop!W51)</f>
        <v>0</v>
      </c>
      <c r="W51" s="241">
        <f>IF($E51=0,0,NSTonghop!Z51)</f>
        <v>0</v>
      </c>
      <c r="X51" s="241">
        <f>IF($E51=0,0,NSTonghop!AA51)</f>
        <v>0</v>
      </c>
      <c r="Y51" s="241">
        <f>IF($E51=0,0,NSTonghop!AB51)</f>
        <v>0</v>
      </c>
      <c r="Z51" s="241">
        <f>IF($E51=0,0,NSTonghop!AC51)</f>
        <v>0</v>
      </c>
      <c r="AA51" s="241">
        <f>IF($E51=0,0,NSTonghop!AD51)</f>
        <v>0</v>
      </c>
      <c r="AB51" s="241">
        <f>IF($E51=0,0,NSTonghop!AE51)</f>
        <v>0</v>
      </c>
      <c r="AC51" s="241">
        <f>IF($E51=0,0,NSTonghop!AF51)</f>
        <v>0</v>
      </c>
      <c r="AD51" s="241">
        <f>IF($E51=0,0,NSTonghop!AH51)</f>
        <v>0</v>
      </c>
      <c r="AE51" s="241">
        <f>IF($E51=0,0,NSTonghop!AJ51)</f>
        <v>0</v>
      </c>
      <c r="AF51" s="241">
        <f>IF($E51=0,0,NSTonghop!AK51)</f>
        <v>0</v>
      </c>
      <c r="AG51" s="241">
        <f>IF($E51=0,0,NSTonghop!AL51)</f>
        <v>0</v>
      </c>
      <c r="AH51" s="241">
        <f>IF($E51=0,0,NSTonghop!AO51)</f>
        <v>0</v>
      </c>
      <c r="AI51" s="241">
        <f>IF($E51=0,0,NSTonghop!AP51)</f>
        <v>0</v>
      </c>
      <c r="AJ51" s="241">
        <f>IF($E51=0,0,NSTonghop!AQ51)</f>
        <v>0</v>
      </c>
      <c r="AK51" s="241">
        <f>IF($E51=0,0,NSTonghop!AT51)</f>
        <v>0</v>
      </c>
      <c r="AL51" s="212"/>
    </row>
    <row r="52" spans="1:38" x14ac:dyDescent="0.25">
      <c r="A52" s="220"/>
      <c r="B52" s="162">
        <f>IF(E52=0,0,MAX($B$8:B51)+1)</f>
        <v>26</v>
      </c>
      <c r="C52" s="163">
        <f>IF(E52=0,0,MAX($C$50:C51)+1)</f>
        <v>2</v>
      </c>
      <c r="D52" s="162">
        <f>IF(NSTonghop!AO52="",0,NSTonghop!E52)</f>
        <v>0</v>
      </c>
      <c r="E52" s="162" t="str">
        <f>IF(NSTonghop!AO52="",0,NSTonghop!F52)</f>
        <v>Trịnh Xuân Văn</v>
      </c>
      <c r="F52" s="123">
        <f>IF($E52=0,0,NSTonghop!G52)</f>
        <v>0</v>
      </c>
      <c r="G52" s="123" t="str">
        <f>IF($E52=0,0,NSTonghop!H52)</f>
        <v>27/12/1984</v>
      </c>
      <c r="H52" s="123">
        <f>IF($E52=0,0,NSTonghop!I52)</f>
        <v>0</v>
      </c>
      <c r="I52" s="125">
        <f t="shared" si="0"/>
        <v>1984</v>
      </c>
      <c r="J52" s="125">
        <f t="shared" si="1"/>
        <v>0</v>
      </c>
      <c r="K52" s="123" t="str">
        <f>IF($E52=0,0,NSTonghop!L52)</f>
        <v>GV</v>
      </c>
      <c r="L52" s="123">
        <f>IF($E52=0,0,NSTonghop!M52)</f>
        <v>0</v>
      </c>
      <c r="M52" s="123" t="str">
        <f>IF($E52=0,0,NSTonghop!N52)</f>
        <v>x</v>
      </c>
      <c r="N52" s="123" t="str">
        <f>IF($E52=0,0,NSTonghop!O52)</f>
        <v>Bần nông</v>
      </c>
      <c r="O52" s="123" t="str">
        <f>IF($E52=0,0,NSTonghop!P52)</f>
        <v>Yên Phong-Thanh Hóa</v>
      </c>
      <c r="P52" s="123" t="str">
        <f>IF($E52=0,0,NSTonghop!Q52)</f>
        <v>Yên Phong-Yên Định-Thanh Hóa</v>
      </c>
      <c r="Q52" s="123" t="str">
        <f>IF($E52=0,0,NSTonghop!R52)</f>
        <v>17 Vĩnh Hưng-VTT</v>
      </c>
      <c r="R52" s="123" t="str">
        <f>IF($E52=0,0,NSTonghop!S52)</f>
        <v>PTTH/02/TB</v>
      </c>
      <c r="S52" s="123" t="str">
        <f>IF($E52=0,0,NSTonghop!T52)</f>
        <v>ĐHCQ/Toán/07/TBK</v>
      </c>
      <c r="T52" s="123">
        <f>IF($E52=0,0,NSTonghop!U52)</f>
        <v>0</v>
      </c>
      <c r="U52" s="123">
        <f>IF($E52=0,0,NSTonghop!V52)</f>
        <v>0</v>
      </c>
      <c r="V52" s="123" t="str">
        <f>IF($E52=0,0,NSTonghop!W52)</f>
        <v>ĐHCQ</v>
      </c>
      <c r="W52" s="241">
        <f>IF($E52=0,0,NSTonghop!Z52)</f>
        <v>0</v>
      </c>
      <c r="X52" s="241" t="str">
        <f>IF($E52=0,0,NSTonghop!AA52)</f>
        <v>SC/18</v>
      </c>
      <c r="Y52" s="241" t="str">
        <f>IF($E52=0,0,NSTonghop!AB52)</f>
        <v>A/08/TB</v>
      </c>
      <c r="Z52" s="241" t="str">
        <f>IF($E52=0,0,NSTonghop!AC52)</f>
        <v>B/Anh/08/TB</v>
      </c>
      <c r="AA52" s="241">
        <f>IF($E52=0,0,NSTonghop!AD52)</f>
        <v>0</v>
      </c>
      <c r="AB52" s="241">
        <f>IF($E52=0,0,NSTonghop!AE52)</f>
        <v>0</v>
      </c>
      <c r="AC52" s="241">
        <f>IF($E52=0,0,NSTonghop!AF52)</f>
        <v>0</v>
      </c>
      <c r="AD52" s="241" t="str">
        <f>IF($E52=0,0,NSTonghop!AH52)</f>
        <v>CN/15/Khá</v>
      </c>
      <c r="AE52" s="241">
        <f>IF($E52=0,0,NSTonghop!AJ52)</f>
        <v>352091352</v>
      </c>
      <c r="AF52" s="241" t="str">
        <f>IF($E52=0,0,NSTonghop!AK52)</f>
        <v>24/05/2013</v>
      </c>
      <c r="AG52" s="241" t="str">
        <f>IF($E52=0,0,NSTonghop!AL52)</f>
        <v>01/09/2007</v>
      </c>
      <c r="AH52" s="241" t="str">
        <f>IF($E52=0,0,NSTonghop!AO52)</f>
        <v>24/08/2013</v>
      </c>
      <c r="AI52" s="241" t="str">
        <f>IF($E52=0,0,NSTonghop!AP52)</f>
        <v>31.054 651</v>
      </c>
      <c r="AJ52" s="241">
        <f>IF($E52=0,0,NSTonghop!AQ52)</f>
        <v>2013</v>
      </c>
      <c r="AK52" s="241" t="str">
        <f>IF($E52=0,0,NSTonghop!AT52)</f>
        <v>0962187567</v>
      </c>
      <c r="AL52" s="212"/>
    </row>
    <row r="53" spans="1:38" hidden="1" x14ac:dyDescent="0.25">
      <c r="A53" s="220"/>
      <c r="B53" s="162">
        <f>IF(E53=0,0,MAX($B$8:B52)+1)</f>
        <v>0</v>
      </c>
      <c r="C53" s="163">
        <f>IF(E53=0,0,MAX($C$50:C52)+1)</f>
        <v>0</v>
      </c>
      <c r="D53" s="162">
        <f>IF(NSTonghop!AO53="",0,NSTonghop!E53)</f>
        <v>0</v>
      </c>
      <c r="E53" s="162">
        <f>IF(NSTonghop!AO53="",0,NSTonghop!F53)</f>
        <v>0</v>
      </c>
      <c r="F53" s="123">
        <f>IF($E53=0,0,NSTonghop!G53)</f>
        <v>0</v>
      </c>
      <c r="G53" s="123">
        <f>IF($E53=0,0,NSTonghop!H53)</f>
        <v>0</v>
      </c>
      <c r="H53" s="123">
        <f>IF($E53=0,0,NSTonghop!I53)</f>
        <v>0</v>
      </c>
      <c r="I53" s="125">
        <f t="shared" si="0"/>
        <v>0</v>
      </c>
      <c r="J53" s="125">
        <f t="shared" si="1"/>
        <v>0</v>
      </c>
      <c r="K53" s="123">
        <f>IF($E53=0,0,NSTonghop!L53)</f>
        <v>0</v>
      </c>
      <c r="L53" s="123">
        <f>IF($E53=0,0,NSTonghop!M53)</f>
        <v>0</v>
      </c>
      <c r="M53" s="123">
        <f>IF($E53=0,0,NSTonghop!N53)</f>
        <v>0</v>
      </c>
      <c r="N53" s="123">
        <f>IF($E53=0,0,NSTonghop!O53)</f>
        <v>0</v>
      </c>
      <c r="O53" s="123">
        <f>IF($E53=0,0,NSTonghop!P53)</f>
        <v>0</v>
      </c>
      <c r="P53" s="123">
        <f>IF($E53=0,0,NSTonghop!Q53)</f>
        <v>0</v>
      </c>
      <c r="Q53" s="123">
        <f>IF($E53=0,0,NSTonghop!R53)</f>
        <v>0</v>
      </c>
      <c r="R53" s="123">
        <f>IF($E53=0,0,NSTonghop!S53)</f>
        <v>0</v>
      </c>
      <c r="S53" s="123">
        <f>IF($E53=0,0,NSTonghop!T53)</f>
        <v>0</v>
      </c>
      <c r="T53" s="123">
        <f>IF($E53=0,0,NSTonghop!U53)</f>
        <v>0</v>
      </c>
      <c r="U53" s="123">
        <f>IF($E53=0,0,NSTonghop!V53)</f>
        <v>0</v>
      </c>
      <c r="V53" s="123">
        <f>IF($E53=0,0,NSTonghop!W53)</f>
        <v>0</v>
      </c>
      <c r="W53" s="241">
        <f>IF($E53=0,0,NSTonghop!Z53)</f>
        <v>0</v>
      </c>
      <c r="X53" s="241">
        <f>IF($E53=0,0,NSTonghop!AA53)</f>
        <v>0</v>
      </c>
      <c r="Y53" s="241">
        <f>IF($E53=0,0,NSTonghop!AB53)</f>
        <v>0</v>
      </c>
      <c r="Z53" s="241">
        <f>IF($E53=0,0,NSTonghop!AC53)</f>
        <v>0</v>
      </c>
      <c r="AA53" s="241">
        <f>IF($E53=0,0,NSTonghop!AD53)</f>
        <v>0</v>
      </c>
      <c r="AB53" s="241">
        <f>IF($E53=0,0,NSTonghop!AE53)</f>
        <v>0</v>
      </c>
      <c r="AC53" s="241">
        <f>IF($E53=0,0,NSTonghop!AF53)</f>
        <v>0</v>
      </c>
      <c r="AD53" s="241">
        <f>IF($E53=0,0,NSTonghop!AH53)</f>
        <v>0</v>
      </c>
      <c r="AE53" s="241">
        <f>IF($E53=0,0,NSTonghop!AJ53)</f>
        <v>0</v>
      </c>
      <c r="AF53" s="241">
        <f>IF($E53=0,0,NSTonghop!AK53)</f>
        <v>0</v>
      </c>
      <c r="AG53" s="241">
        <f>IF($E53=0,0,NSTonghop!AL53)</f>
        <v>0</v>
      </c>
      <c r="AH53" s="241">
        <f>IF($E53=0,0,NSTonghop!AO53)</f>
        <v>0</v>
      </c>
      <c r="AI53" s="241">
        <f>IF($E53=0,0,NSTonghop!AP53)</f>
        <v>0</v>
      </c>
      <c r="AJ53" s="241">
        <f>IF($E53=0,0,NSTonghop!AQ53)</f>
        <v>0</v>
      </c>
      <c r="AK53" s="241">
        <f>IF($E53=0,0,NSTonghop!AT53)</f>
        <v>0</v>
      </c>
      <c r="AL53" s="212"/>
    </row>
    <row r="54" spans="1:38" hidden="1" x14ac:dyDescent="0.25">
      <c r="A54" s="220"/>
      <c r="B54" s="162">
        <f>IF(E54=0,0,MAX($B$8:B53)+1)</f>
        <v>0</v>
      </c>
      <c r="C54" s="163">
        <f>IF(E54=0,0,MAX($C$50:C53)+1)</f>
        <v>0</v>
      </c>
      <c r="D54" s="162">
        <f>IF(NSTonghop!AO54="",0,NSTonghop!E54)</f>
        <v>0</v>
      </c>
      <c r="E54" s="162">
        <f>IF(NSTonghop!AO54="",0,NSTonghop!F54)</f>
        <v>0</v>
      </c>
      <c r="F54" s="123">
        <f>IF($E54=0,0,NSTonghop!G54)</f>
        <v>0</v>
      </c>
      <c r="G54" s="123">
        <f>IF($E54=0,0,NSTonghop!H54)</f>
        <v>0</v>
      </c>
      <c r="H54" s="123">
        <f>IF($E54=0,0,NSTonghop!I54)</f>
        <v>0</v>
      </c>
      <c r="I54" s="125">
        <f t="shared" si="0"/>
        <v>0</v>
      </c>
      <c r="J54" s="125">
        <f t="shared" si="1"/>
        <v>0</v>
      </c>
      <c r="K54" s="123">
        <f>IF($E54=0,0,NSTonghop!L54)</f>
        <v>0</v>
      </c>
      <c r="L54" s="123">
        <f>IF($E54=0,0,NSTonghop!M54)</f>
        <v>0</v>
      </c>
      <c r="M54" s="123">
        <f>IF($E54=0,0,NSTonghop!N54)</f>
        <v>0</v>
      </c>
      <c r="N54" s="123">
        <f>IF($E54=0,0,NSTonghop!O54)</f>
        <v>0</v>
      </c>
      <c r="O54" s="123">
        <f>IF($E54=0,0,NSTonghop!P54)</f>
        <v>0</v>
      </c>
      <c r="P54" s="123">
        <f>IF($E54=0,0,NSTonghop!Q54)</f>
        <v>0</v>
      </c>
      <c r="Q54" s="123">
        <f>IF($E54=0,0,NSTonghop!R54)</f>
        <v>0</v>
      </c>
      <c r="R54" s="123">
        <f>IF($E54=0,0,NSTonghop!S54)</f>
        <v>0</v>
      </c>
      <c r="S54" s="123">
        <f>IF($E54=0,0,NSTonghop!T54)</f>
        <v>0</v>
      </c>
      <c r="T54" s="123">
        <f>IF($E54=0,0,NSTonghop!U54)</f>
        <v>0</v>
      </c>
      <c r="U54" s="123">
        <f>IF($E54=0,0,NSTonghop!V54)</f>
        <v>0</v>
      </c>
      <c r="V54" s="123">
        <f>IF($E54=0,0,NSTonghop!W54)</f>
        <v>0</v>
      </c>
      <c r="W54" s="241">
        <f>IF($E54=0,0,NSTonghop!Z54)</f>
        <v>0</v>
      </c>
      <c r="X54" s="241">
        <f>IF($E54=0,0,NSTonghop!AA54)</f>
        <v>0</v>
      </c>
      <c r="Y54" s="241">
        <f>IF($E54=0,0,NSTonghop!AB54)</f>
        <v>0</v>
      </c>
      <c r="Z54" s="241">
        <f>IF($E54=0,0,NSTonghop!AC54)</f>
        <v>0</v>
      </c>
      <c r="AA54" s="241">
        <f>IF($E54=0,0,NSTonghop!AD54)</f>
        <v>0</v>
      </c>
      <c r="AB54" s="241">
        <f>IF($E54=0,0,NSTonghop!AE54)</f>
        <v>0</v>
      </c>
      <c r="AC54" s="241">
        <f>IF($E54=0,0,NSTonghop!AF54)</f>
        <v>0</v>
      </c>
      <c r="AD54" s="241">
        <f>IF($E54=0,0,NSTonghop!AH54)</f>
        <v>0</v>
      </c>
      <c r="AE54" s="241">
        <f>IF($E54=0,0,NSTonghop!AJ54)</f>
        <v>0</v>
      </c>
      <c r="AF54" s="241">
        <f>IF($E54=0,0,NSTonghop!AK54)</f>
        <v>0</v>
      </c>
      <c r="AG54" s="241">
        <f>IF($E54=0,0,NSTonghop!AL54)</f>
        <v>0</v>
      </c>
      <c r="AH54" s="241">
        <f>IF($E54=0,0,NSTonghop!AO54)</f>
        <v>0</v>
      </c>
      <c r="AI54" s="241">
        <f>IF($E54=0,0,NSTonghop!AP54)</f>
        <v>0</v>
      </c>
      <c r="AJ54" s="241">
        <f>IF($E54=0,0,NSTonghop!AQ54)</f>
        <v>0</v>
      </c>
      <c r="AK54" s="241">
        <f>IF($E54=0,0,NSTonghop!AT54)</f>
        <v>0</v>
      </c>
      <c r="AL54" s="212"/>
    </row>
    <row r="55" spans="1:38" hidden="1" x14ac:dyDescent="0.25">
      <c r="A55" s="220"/>
      <c r="B55" s="162">
        <f>IF(E55=0,0,MAX($B$8:B54)+1)</f>
        <v>0</v>
      </c>
      <c r="C55" s="163">
        <f>IF(E55=0,0,MAX($C$50:C54)+1)</f>
        <v>0</v>
      </c>
      <c r="D55" s="162">
        <f>IF(NSTonghop!AO55="",0,NSTonghop!E55)</f>
        <v>0</v>
      </c>
      <c r="E55" s="162">
        <f>IF(NSTonghop!AO55="",0,NSTonghop!F55)</f>
        <v>0</v>
      </c>
      <c r="F55" s="123">
        <f>IF($E55=0,0,NSTonghop!G55)</f>
        <v>0</v>
      </c>
      <c r="G55" s="123">
        <f>IF($E55=0,0,NSTonghop!H55)</f>
        <v>0</v>
      </c>
      <c r="H55" s="123">
        <f>IF($E55=0,0,NSTonghop!I55)</f>
        <v>0</v>
      </c>
      <c r="I55" s="125">
        <f t="shared" si="0"/>
        <v>0</v>
      </c>
      <c r="J55" s="125">
        <f t="shared" si="1"/>
        <v>0</v>
      </c>
      <c r="K55" s="123">
        <f>IF($E55=0,0,NSTonghop!L55)</f>
        <v>0</v>
      </c>
      <c r="L55" s="123">
        <f>IF($E55=0,0,NSTonghop!M55)</f>
        <v>0</v>
      </c>
      <c r="M55" s="123">
        <f>IF($E55=0,0,NSTonghop!N55)</f>
        <v>0</v>
      </c>
      <c r="N55" s="123">
        <f>IF($E55=0,0,NSTonghop!O55)</f>
        <v>0</v>
      </c>
      <c r="O55" s="123">
        <f>IF($E55=0,0,NSTonghop!P55)</f>
        <v>0</v>
      </c>
      <c r="P55" s="123">
        <f>IF($E55=0,0,NSTonghop!Q55)</f>
        <v>0</v>
      </c>
      <c r="Q55" s="123">
        <f>IF($E55=0,0,NSTonghop!R55)</f>
        <v>0</v>
      </c>
      <c r="R55" s="123">
        <f>IF($E55=0,0,NSTonghop!S55)</f>
        <v>0</v>
      </c>
      <c r="S55" s="123">
        <f>IF($E55=0,0,NSTonghop!T55)</f>
        <v>0</v>
      </c>
      <c r="T55" s="123">
        <f>IF($E55=0,0,NSTonghop!U55)</f>
        <v>0</v>
      </c>
      <c r="U55" s="123">
        <f>IF($E55=0,0,NSTonghop!V55)</f>
        <v>0</v>
      </c>
      <c r="V55" s="123">
        <f>IF($E55=0,0,NSTonghop!W55)</f>
        <v>0</v>
      </c>
      <c r="W55" s="241">
        <f>IF($E55=0,0,NSTonghop!Z55)</f>
        <v>0</v>
      </c>
      <c r="X55" s="241">
        <f>IF($E55=0,0,NSTonghop!AA55)</f>
        <v>0</v>
      </c>
      <c r="Y55" s="241">
        <f>IF($E55=0,0,NSTonghop!AB55)</f>
        <v>0</v>
      </c>
      <c r="Z55" s="241">
        <f>IF($E55=0,0,NSTonghop!AC55)</f>
        <v>0</v>
      </c>
      <c r="AA55" s="241">
        <f>IF($E55=0,0,NSTonghop!AD55)</f>
        <v>0</v>
      </c>
      <c r="AB55" s="241">
        <f>IF($E55=0,0,NSTonghop!AE55)</f>
        <v>0</v>
      </c>
      <c r="AC55" s="241">
        <f>IF($E55=0,0,NSTonghop!AF55)</f>
        <v>0</v>
      </c>
      <c r="AD55" s="241">
        <f>IF($E55=0,0,NSTonghop!AH55)</f>
        <v>0</v>
      </c>
      <c r="AE55" s="241">
        <f>IF($E55=0,0,NSTonghop!AJ55)</f>
        <v>0</v>
      </c>
      <c r="AF55" s="241">
        <f>IF($E55=0,0,NSTonghop!AK55)</f>
        <v>0</v>
      </c>
      <c r="AG55" s="241">
        <f>IF($E55=0,0,NSTonghop!AL55)</f>
        <v>0</v>
      </c>
      <c r="AH55" s="241">
        <f>IF($E55=0,0,NSTonghop!AO55)</f>
        <v>0</v>
      </c>
      <c r="AI55" s="241">
        <f>IF($E55=0,0,NSTonghop!AP55)</f>
        <v>0</v>
      </c>
      <c r="AJ55" s="241">
        <f>IF($E55=0,0,NSTonghop!AQ55)</f>
        <v>0</v>
      </c>
      <c r="AK55" s="241">
        <f>IF($E55=0,0,NSTonghop!AT55)</f>
        <v>0</v>
      </c>
      <c r="AL55" s="212"/>
    </row>
    <row r="56" spans="1:38" hidden="1" x14ac:dyDescent="0.25">
      <c r="A56" s="220"/>
      <c r="B56" s="162">
        <f>IF(E56=0,0,MAX($B$8:B55)+1)</f>
        <v>0</v>
      </c>
      <c r="C56" s="163">
        <f>IF(E56=0,0,MAX($C$50:C55)+1)</f>
        <v>0</v>
      </c>
      <c r="D56" s="162">
        <f>IF(NSTonghop!AO56="",0,NSTonghop!E56)</f>
        <v>0</v>
      </c>
      <c r="E56" s="162">
        <f>IF(NSTonghop!AO56="",0,NSTonghop!F56)</f>
        <v>0</v>
      </c>
      <c r="F56" s="123">
        <f>IF($E56=0,0,NSTonghop!G56)</f>
        <v>0</v>
      </c>
      <c r="G56" s="123">
        <f>IF($E56=0,0,NSTonghop!H56)</f>
        <v>0</v>
      </c>
      <c r="H56" s="123">
        <f>IF($E56=0,0,NSTonghop!I56)</f>
        <v>0</v>
      </c>
      <c r="I56" s="125">
        <f t="shared" si="0"/>
        <v>0</v>
      </c>
      <c r="J56" s="125">
        <f t="shared" si="1"/>
        <v>0</v>
      </c>
      <c r="K56" s="123">
        <f>IF($E56=0,0,NSTonghop!L56)</f>
        <v>0</v>
      </c>
      <c r="L56" s="123">
        <f>IF($E56=0,0,NSTonghop!M56)</f>
        <v>0</v>
      </c>
      <c r="M56" s="123">
        <f>IF($E56=0,0,NSTonghop!N56)</f>
        <v>0</v>
      </c>
      <c r="N56" s="123">
        <f>IF($E56=0,0,NSTonghop!O56)</f>
        <v>0</v>
      </c>
      <c r="O56" s="123">
        <f>IF($E56=0,0,NSTonghop!P56)</f>
        <v>0</v>
      </c>
      <c r="P56" s="123">
        <f>IF($E56=0,0,NSTonghop!Q56)</f>
        <v>0</v>
      </c>
      <c r="Q56" s="123">
        <f>IF($E56=0,0,NSTonghop!R56)</f>
        <v>0</v>
      </c>
      <c r="R56" s="123">
        <f>IF($E56=0,0,NSTonghop!S56)</f>
        <v>0</v>
      </c>
      <c r="S56" s="123">
        <f>IF($E56=0,0,NSTonghop!T56)</f>
        <v>0</v>
      </c>
      <c r="T56" s="123">
        <f>IF($E56=0,0,NSTonghop!U56)</f>
        <v>0</v>
      </c>
      <c r="U56" s="123">
        <f>IF($E56=0,0,NSTonghop!V56)</f>
        <v>0</v>
      </c>
      <c r="V56" s="123">
        <f>IF($E56=0,0,NSTonghop!W56)</f>
        <v>0</v>
      </c>
      <c r="W56" s="241">
        <f>IF($E56=0,0,NSTonghop!Z56)</f>
        <v>0</v>
      </c>
      <c r="X56" s="241">
        <f>IF($E56=0,0,NSTonghop!AA56)</f>
        <v>0</v>
      </c>
      <c r="Y56" s="241">
        <f>IF($E56=0,0,NSTonghop!AB56)</f>
        <v>0</v>
      </c>
      <c r="Z56" s="241">
        <f>IF($E56=0,0,NSTonghop!AC56)</f>
        <v>0</v>
      </c>
      <c r="AA56" s="241">
        <f>IF($E56=0,0,NSTonghop!AD56)</f>
        <v>0</v>
      </c>
      <c r="AB56" s="241">
        <f>IF($E56=0,0,NSTonghop!AE56)</f>
        <v>0</v>
      </c>
      <c r="AC56" s="241">
        <f>IF($E56=0,0,NSTonghop!AF56)</f>
        <v>0</v>
      </c>
      <c r="AD56" s="241">
        <f>IF($E56=0,0,NSTonghop!AH56)</f>
        <v>0</v>
      </c>
      <c r="AE56" s="241">
        <f>IF($E56=0,0,NSTonghop!AJ56)</f>
        <v>0</v>
      </c>
      <c r="AF56" s="241">
        <f>IF($E56=0,0,NSTonghop!AK56)</f>
        <v>0</v>
      </c>
      <c r="AG56" s="241">
        <f>IF($E56=0,0,NSTonghop!AL56)</f>
        <v>0</v>
      </c>
      <c r="AH56" s="241">
        <f>IF($E56=0,0,NSTonghop!AO56)</f>
        <v>0</v>
      </c>
      <c r="AI56" s="241">
        <f>IF($E56=0,0,NSTonghop!AP56)</f>
        <v>0</v>
      </c>
      <c r="AJ56" s="241">
        <f>IF($E56=0,0,NSTonghop!AQ56)</f>
        <v>0</v>
      </c>
      <c r="AK56" s="241">
        <f>IF($E56=0,0,NSTonghop!AT56)</f>
        <v>0</v>
      </c>
      <c r="AL56" s="212"/>
    </row>
    <row r="57" spans="1:38" x14ac:dyDescent="0.25">
      <c r="A57" s="220"/>
      <c r="B57" s="162">
        <f>IF(E57=0,0,MAX($B$8:B56)+1)</f>
        <v>27</v>
      </c>
      <c r="C57" s="163">
        <f>IF(E57=0,0,MAX($C$50:C56)+1)</f>
        <v>3</v>
      </c>
      <c r="D57" s="162">
        <f>IF(NSTonghop!AO57="",0,NSTonghop!E57)</f>
        <v>0</v>
      </c>
      <c r="E57" s="162" t="str">
        <f>IF(NSTonghop!AO57="",0,NSTonghop!F57)</f>
        <v>Đoàn Tô Ngọc Hương</v>
      </c>
      <c r="F57" s="123" t="str">
        <f>IF($E57=0,0,NSTonghop!G57)</f>
        <v>x</v>
      </c>
      <c r="G57" s="123">
        <f>IF($E57=0,0,NSTonghop!H57)</f>
        <v>0</v>
      </c>
      <c r="H57" s="123" t="str">
        <f>IF($E57=0,0,NSTonghop!I57)</f>
        <v>28/07/1981</v>
      </c>
      <c r="I57" s="125">
        <f t="shared" si="0"/>
        <v>0</v>
      </c>
      <c r="J57" s="125">
        <f t="shared" si="1"/>
        <v>1981</v>
      </c>
      <c r="K57" s="123" t="str">
        <f>IF($E57=0,0,NSTonghop!L57)</f>
        <v>GV</v>
      </c>
      <c r="L57" s="123">
        <f>IF($E57=0,0,NSTonghop!M57)</f>
        <v>0</v>
      </c>
      <c r="M57" s="123" t="str">
        <f>IF($E57=0,0,NSTonghop!N57)</f>
        <v>Phật</v>
      </c>
      <c r="N57" s="123" t="str">
        <f>IF($E57=0,0,NSTonghop!O57)</f>
        <v>Trí thức</v>
      </c>
      <c r="O57" s="123" t="str">
        <f>IF($E57=0,0,NSTonghop!P57)</f>
        <v>Vĩnh Thạnh Trung-AG</v>
      </c>
      <c r="P57" s="123" t="str">
        <f>IF($E57=0,0,NSTonghop!Q57)</f>
        <v>Vĩnh Thạnh Trung-Châu Phú</v>
      </c>
      <c r="Q57" s="123" t="str">
        <f>IF($E57=0,0,NSTonghop!R57)</f>
        <v>Vĩnh Hưng-VTT</v>
      </c>
      <c r="R57" s="123" t="str">
        <f>IF($E57=0,0,NSTonghop!S57)</f>
        <v>PTTH/99/Khá</v>
      </c>
      <c r="S57" s="123" t="str">
        <f>IF($E57=0,0,NSTonghop!T57)</f>
        <v>CĐ3/Toán-Tin/03/Khá</v>
      </c>
      <c r="T57" s="123" t="str">
        <f>IF($E57=0,0,NSTonghop!U57)</f>
        <v>ĐHTX/Toán/08/TBK</v>
      </c>
      <c r="U57" s="123">
        <f>IF($E57=0,0,NSTonghop!V57)</f>
        <v>0</v>
      </c>
      <c r="V57" s="123" t="str">
        <f>IF($E57=0,0,NSTonghop!W57)</f>
        <v>ĐHTX</v>
      </c>
      <c r="W57" s="241">
        <f>IF($E57=0,0,NSTonghop!Z57)</f>
        <v>0</v>
      </c>
      <c r="X57" s="241">
        <f>IF($E57=0,0,NSTonghop!AA57)</f>
        <v>0</v>
      </c>
      <c r="Y57" s="241" t="str">
        <f>IF($E57=0,0,NSTonghop!AB57)</f>
        <v>A/04/Giỏi</v>
      </c>
      <c r="Z57" s="241">
        <f>IF($E57=0,0,NSTonghop!AC57)</f>
        <v>0</v>
      </c>
      <c r="AA57" s="241">
        <f>IF($E57=0,0,NSTonghop!AD57)</f>
        <v>0</v>
      </c>
      <c r="AB57" s="241">
        <f>IF($E57=0,0,NSTonghop!AE57)</f>
        <v>0</v>
      </c>
      <c r="AC57" s="241">
        <f>IF($E57=0,0,NSTonghop!AF57)</f>
        <v>0</v>
      </c>
      <c r="AD57" s="241" t="str">
        <f>IF($E57=0,0,NSTonghop!AH57)</f>
        <v>CN/05/Khá</v>
      </c>
      <c r="AE57" s="241">
        <f>IF($E57=0,0,NSTonghop!AJ57)</f>
        <v>351360972</v>
      </c>
      <c r="AF57" s="241" t="str">
        <f>IF($E57=0,0,NSTonghop!AK57)</f>
        <v>12/07/2010</v>
      </c>
      <c r="AG57" s="241" t="str">
        <f>IF($E57=0,0,NSTonghop!AL57)</f>
        <v>01/09/2003</v>
      </c>
      <c r="AH57" s="241" t="str">
        <f>IF($E57=0,0,NSTonghop!AO57)</f>
        <v>21/09/2009</v>
      </c>
      <c r="AI57" s="241" t="str">
        <f>IF($E57=0,0,NSTonghop!AP57)</f>
        <v>31.040 609</v>
      </c>
      <c r="AJ57" s="241">
        <f>IF($E57=0,0,NSTonghop!AQ57)</f>
        <v>2009</v>
      </c>
      <c r="AK57" s="241" t="str">
        <f>IF($E57=0,0,NSTonghop!AT57)</f>
        <v>0858593079</v>
      </c>
      <c r="AL57" s="212"/>
    </row>
    <row r="58" spans="1:38" x14ac:dyDescent="0.25">
      <c r="A58" s="220"/>
      <c r="B58" s="162">
        <f>IF(E58=0,0,MAX($B$8:B57)+1)</f>
        <v>28</v>
      </c>
      <c r="C58" s="163">
        <f>IF(E58=0,0,MAX($C$50:C57)+1)</f>
        <v>4</v>
      </c>
      <c r="D58" s="162">
        <f>IF(NSTonghop!AO58="",0,NSTonghop!E58)</f>
        <v>0</v>
      </c>
      <c r="E58" s="162" t="str">
        <f>IF(NSTonghop!AO58="",0,NSTonghop!F58)</f>
        <v>Huỳnh Thị Bích Vân</v>
      </c>
      <c r="F58" s="123" t="str">
        <f>IF($E58=0,0,NSTonghop!G58)</f>
        <v>x</v>
      </c>
      <c r="G58" s="123">
        <f>IF($E58=0,0,NSTonghop!H58)</f>
        <v>0</v>
      </c>
      <c r="H58" s="123" t="str">
        <f>IF($E58=0,0,NSTonghop!I58)</f>
        <v>29/06/1966</v>
      </c>
      <c r="I58" s="125">
        <f t="shared" si="0"/>
        <v>0</v>
      </c>
      <c r="J58" s="125">
        <f t="shared" si="1"/>
        <v>1966</v>
      </c>
      <c r="K58" s="123" t="str">
        <f>IF($E58=0,0,NSTonghop!L58)</f>
        <v>GV</v>
      </c>
      <c r="L58" s="123">
        <f>IF($E58=0,0,NSTonghop!M58)</f>
        <v>0</v>
      </c>
      <c r="M58" s="123" t="str">
        <f>IF($E58=0,0,NSTonghop!N58)</f>
        <v>Hòa Hảo</v>
      </c>
      <c r="N58" s="123" t="str">
        <f>IF($E58=0,0,NSTonghop!O58)</f>
        <v>Nông dân</v>
      </c>
      <c r="O58" s="123" t="str">
        <f>IF($E58=0,0,NSTonghop!P58)</f>
        <v>Long Kiến-An Giang</v>
      </c>
      <c r="P58" s="123" t="str">
        <f>IF($E58=0,0,NSTonghop!Q58)</f>
        <v>Long Kiến-Chợ Mới</v>
      </c>
      <c r="Q58" s="123" t="str">
        <f>IF($E58=0,0,NSTonghop!R58)</f>
        <v>Vĩnh Hưng-VTT</v>
      </c>
      <c r="R58" s="123" t="str">
        <f>IF($E58=0,0,NSTonghop!S58)</f>
        <v>PTTH/85/TB</v>
      </c>
      <c r="S58" s="123" t="str">
        <f>IF($E58=0,0,NSTonghop!T58)</f>
        <v>CĐ3/Toán-KTCN/89/TB</v>
      </c>
      <c r="T58" s="123" t="str">
        <f>IF($E58=0,0,NSTonghop!U58)</f>
        <v>ĐHTX/Toán/99/TB</v>
      </c>
      <c r="U58" s="123">
        <f>IF($E58=0,0,NSTonghop!V58)</f>
        <v>0</v>
      </c>
      <c r="V58" s="123" t="str">
        <f>IF($E58=0,0,NSTonghop!W58)</f>
        <v>ĐHTX</v>
      </c>
      <c r="W58" s="241">
        <f>IF($E58=0,0,NSTonghop!Z58)</f>
        <v>0</v>
      </c>
      <c r="X58" s="241">
        <f>IF($E58=0,0,NSTonghop!AA58)</f>
        <v>0</v>
      </c>
      <c r="Y58" s="241" t="str">
        <f>IF($E58=0,0,NSTonghop!AB58)</f>
        <v>A/08/Khá</v>
      </c>
      <c r="Z58" s="241">
        <f>IF($E58=0,0,NSTonghop!AC58)</f>
        <v>0</v>
      </c>
      <c r="AA58" s="241">
        <f>IF($E58=0,0,NSTonghop!AD58)</f>
        <v>0</v>
      </c>
      <c r="AB58" s="241">
        <f>IF($E58=0,0,NSTonghop!AE58)</f>
        <v>0</v>
      </c>
      <c r="AC58" s="241">
        <f>IF($E58=0,0,NSTonghop!AF58)</f>
        <v>0</v>
      </c>
      <c r="AD58" s="241" t="str">
        <f>IF($E58=0,0,NSTonghop!AH58)</f>
        <v>CN/10/Khá</v>
      </c>
      <c r="AE58" s="241">
        <f>IF($E58=0,0,NSTonghop!AJ58)</f>
        <v>351560443</v>
      </c>
      <c r="AF58" s="241" t="str">
        <f>IF($E58=0,0,NSTonghop!AK58)</f>
        <v>12/03/2012</v>
      </c>
      <c r="AG58" s="241" t="str">
        <f>IF($E58=0,0,NSTonghop!AL58)</f>
        <v>01/09/1988</v>
      </c>
      <c r="AH58" s="241" t="str">
        <f>IF($E58=0,0,NSTonghop!AO58)</f>
        <v>07/10/2006</v>
      </c>
      <c r="AI58" s="241" t="str">
        <f>IF($E58=0,0,NSTonghop!AP58)</f>
        <v>31.033 978</v>
      </c>
      <c r="AJ58" s="241">
        <f>IF($E58=0,0,NSTonghop!AQ58)</f>
        <v>2006</v>
      </c>
      <c r="AK58" s="241" t="str">
        <f>IF($E58=0,0,NSTonghop!AT58)</f>
        <v>0358300982</v>
      </c>
      <c r="AL58" s="212"/>
    </row>
    <row r="59" spans="1:38" x14ac:dyDescent="0.25">
      <c r="A59" s="220"/>
      <c r="B59" s="162">
        <f>IF(E59=0,0,MAX($B$8:B58)+1)</f>
        <v>29</v>
      </c>
      <c r="C59" s="163">
        <f>IF(E59=0,0,MAX($C$50:C58)+1)</f>
        <v>5</v>
      </c>
      <c r="D59" s="162">
        <f>IF(NSTonghop!AO59="",0,NSTonghop!E59)</f>
        <v>0</v>
      </c>
      <c r="E59" s="162" t="str">
        <f>IF(NSTonghop!AO59="",0,NSTonghop!F59)</f>
        <v>Phạm Minh Hiếu</v>
      </c>
      <c r="F59" s="123">
        <f>IF($E59=0,0,NSTonghop!G59)</f>
        <v>0</v>
      </c>
      <c r="G59" s="123" t="str">
        <f>IF($E59=0,0,NSTonghop!H59)</f>
        <v>09/02/1979</v>
      </c>
      <c r="H59" s="123">
        <f>IF($E59=0,0,NSTonghop!I59)</f>
        <v>0</v>
      </c>
      <c r="I59" s="125">
        <f t="shared" si="0"/>
        <v>1979</v>
      </c>
      <c r="J59" s="125">
        <f t="shared" si="1"/>
        <v>0</v>
      </c>
      <c r="K59" s="123" t="str">
        <f>IF($E59=0,0,NSTonghop!L59)</f>
        <v>GV</v>
      </c>
      <c r="L59" s="123">
        <f>IF($E59=0,0,NSTonghop!M59)</f>
        <v>0</v>
      </c>
      <c r="M59" s="123" t="str">
        <f>IF($E59=0,0,NSTonghop!N59)</f>
        <v>Công giáo</v>
      </c>
      <c r="N59" s="123" t="str">
        <f>IF($E59=0,0,NSTonghop!O59)</f>
        <v>Nông dân</v>
      </c>
      <c r="O59" s="123" t="str">
        <f>IF($E59=0,0,NSTonghop!P59)</f>
        <v>Bình Long-An Giang</v>
      </c>
      <c r="P59" s="123" t="str">
        <f>IF($E59=0,0,NSTonghop!Q59)</f>
        <v>Chất Thành-Kim Sơn-Hà Nam Ninh</v>
      </c>
      <c r="Q59" s="123">
        <f>IF($E59=0,0,NSTonghop!R59)</f>
        <v>0</v>
      </c>
      <c r="R59" s="123" t="str">
        <f>IF($E59=0,0,NSTonghop!S59)</f>
        <v>PTTH/96/Khá</v>
      </c>
      <c r="S59" s="123" t="str">
        <f>IF($E59=0,0,NSTonghop!T59)</f>
        <v>CĐ3/Toán-Tin/99/TB</v>
      </c>
      <c r="T59" s="123" t="str">
        <f>IF($E59=0,0,NSTonghop!U59)</f>
        <v>ĐHTX/Toán/08/TBK</v>
      </c>
      <c r="U59" s="123">
        <f>IF($E59=0,0,NSTonghop!V59)</f>
        <v>0</v>
      </c>
      <c r="V59" s="123" t="str">
        <f>IF($E59=0,0,NSTonghop!W59)</f>
        <v>ĐHTX</v>
      </c>
      <c r="W59" s="241">
        <f>IF($E59=0,0,NSTonghop!Z59)</f>
        <v>0</v>
      </c>
      <c r="X59" s="241" t="str">
        <f>IF($E59=0,0,NSTonghop!AA59)</f>
        <v>TC/11</v>
      </c>
      <c r="Y59" s="241" t="str">
        <f>IF($E59=0,0,NSTonghop!AB59)</f>
        <v>A/07/Giỏi</v>
      </c>
      <c r="Z59" s="241" t="str">
        <f>IF($E59=0,0,NSTonghop!AC59)</f>
        <v>A/Anh/06/TB</v>
      </c>
      <c r="AA59" s="241">
        <f>IF($E59=0,0,NSTonghop!AD59)</f>
        <v>0</v>
      </c>
      <c r="AB59" s="241">
        <f>IF($E59=0,0,NSTonghop!AE59)</f>
        <v>0</v>
      </c>
      <c r="AC59" s="241">
        <f>IF($E59=0,0,NSTonghop!AF59)</f>
        <v>0</v>
      </c>
      <c r="AD59" s="241" t="str">
        <f>IF($E59=0,0,NSTonghop!AH59)</f>
        <v>CC/14/Khá</v>
      </c>
      <c r="AE59" s="241">
        <f>IF($E59=0,0,NSTonghop!AJ59)</f>
        <v>0</v>
      </c>
      <c r="AF59" s="241">
        <f>IF($E59=0,0,NSTonghop!AK59)</f>
        <v>0</v>
      </c>
      <c r="AG59" s="241" t="str">
        <f>IF($E59=0,0,NSTonghop!AL59)</f>
        <v>01/09/1999</v>
      </c>
      <c r="AH59" s="241" t="str">
        <f>IF($E59=0,0,NSTonghop!AO59)</f>
        <v>20/08/2007</v>
      </c>
      <c r="AI59" s="241" t="str">
        <f>IF($E59=0,0,NSTonghop!AP59)</f>
        <v>31.036 314</v>
      </c>
      <c r="AJ59" s="241">
        <f>IF($E59=0,0,NSTonghop!AQ59)</f>
        <v>2007</v>
      </c>
      <c r="AK59" s="241" t="str">
        <f>IF($E59=0,0,NSTonghop!AT59)</f>
        <v>0976992020</v>
      </c>
      <c r="AL59" s="212"/>
    </row>
    <row r="60" spans="1:38" hidden="1" x14ac:dyDescent="0.25">
      <c r="A60" s="220"/>
      <c r="B60" s="162">
        <f>IF(E60=0,0,MAX($B$8:B59)+1)</f>
        <v>0</v>
      </c>
      <c r="C60" s="163">
        <f>IF(E60=0,0,MAX($C$50:C59)+1)</f>
        <v>0</v>
      </c>
      <c r="D60" s="162">
        <f>IF(NSTonghop!AO60="",0,NSTonghop!E60)</f>
        <v>0</v>
      </c>
      <c r="E60" s="162">
        <f>IF(NSTonghop!AO60="",0,NSTonghop!F60)</f>
        <v>0</v>
      </c>
      <c r="F60" s="123">
        <f>IF($E60=0,0,NSTonghop!G60)</f>
        <v>0</v>
      </c>
      <c r="G60" s="123">
        <f>IF($E60=0,0,NSTonghop!H60)</f>
        <v>0</v>
      </c>
      <c r="H60" s="123">
        <f>IF($E60=0,0,NSTonghop!I60)</f>
        <v>0</v>
      </c>
      <c r="I60" s="125">
        <f t="shared" si="0"/>
        <v>0</v>
      </c>
      <c r="J60" s="125">
        <f t="shared" si="1"/>
        <v>0</v>
      </c>
      <c r="K60" s="123">
        <f>IF($E60=0,0,NSTonghop!L60)</f>
        <v>0</v>
      </c>
      <c r="L60" s="123">
        <f>IF($E60=0,0,NSTonghop!M60)</f>
        <v>0</v>
      </c>
      <c r="M60" s="123">
        <f>IF($E60=0,0,NSTonghop!N60)</f>
        <v>0</v>
      </c>
      <c r="N60" s="123">
        <f>IF($E60=0,0,NSTonghop!O60)</f>
        <v>0</v>
      </c>
      <c r="O60" s="123">
        <f>IF($E60=0,0,NSTonghop!P60)</f>
        <v>0</v>
      </c>
      <c r="P60" s="123">
        <f>IF($E60=0,0,NSTonghop!Q60)</f>
        <v>0</v>
      </c>
      <c r="Q60" s="123">
        <f>IF($E60=0,0,NSTonghop!R60)</f>
        <v>0</v>
      </c>
      <c r="R60" s="123">
        <f>IF($E60=0,0,NSTonghop!S60)</f>
        <v>0</v>
      </c>
      <c r="S60" s="123">
        <f>IF($E60=0,0,NSTonghop!T60)</f>
        <v>0</v>
      </c>
      <c r="T60" s="123">
        <f>IF($E60=0,0,NSTonghop!U60)</f>
        <v>0</v>
      </c>
      <c r="U60" s="123">
        <f>IF($E60=0,0,NSTonghop!V60)</f>
        <v>0</v>
      </c>
      <c r="V60" s="123">
        <f>IF($E60=0,0,NSTonghop!W60)</f>
        <v>0</v>
      </c>
      <c r="W60" s="241">
        <f>IF($E60=0,0,NSTonghop!Z60)</f>
        <v>0</v>
      </c>
      <c r="X60" s="241">
        <f>IF($E60=0,0,NSTonghop!AA60)</f>
        <v>0</v>
      </c>
      <c r="Y60" s="241">
        <f>IF($E60=0,0,NSTonghop!AB60)</f>
        <v>0</v>
      </c>
      <c r="Z60" s="241">
        <f>IF($E60=0,0,NSTonghop!AC60)</f>
        <v>0</v>
      </c>
      <c r="AA60" s="241">
        <f>IF($E60=0,0,NSTonghop!AD60)</f>
        <v>0</v>
      </c>
      <c r="AB60" s="241">
        <f>IF($E60=0,0,NSTonghop!AE60)</f>
        <v>0</v>
      </c>
      <c r="AC60" s="241">
        <f>IF($E60=0,0,NSTonghop!AF60)</f>
        <v>0</v>
      </c>
      <c r="AD60" s="241">
        <f>IF($E60=0,0,NSTonghop!AH60)</f>
        <v>0</v>
      </c>
      <c r="AE60" s="241">
        <f>IF($E60=0,0,NSTonghop!AJ60)</f>
        <v>0</v>
      </c>
      <c r="AF60" s="241">
        <f>IF($E60=0,0,NSTonghop!AK60)</f>
        <v>0</v>
      </c>
      <c r="AG60" s="241">
        <f>IF($E60=0,0,NSTonghop!AL60)</f>
        <v>0</v>
      </c>
      <c r="AH60" s="241">
        <f>IF($E60=0,0,NSTonghop!AO60)</f>
        <v>0</v>
      </c>
      <c r="AI60" s="241">
        <f>IF($E60=0,0,NSTonghop!AP60)</f>
        <v>0</v>
      </c>
      <c r="AJ60" s="241">
        <f>IF($E60=0,0,NSTonghop!AQ60)</f>
        <v>0</v>
      </c>
      <c r="AK60" s="241">
        <f>IF($E60=0,0,NSTonghop!AT60)</f>
        <v>0</v>
      </c>
      <c r="AL60" s="212"/>
    </row>
    <row r="61" spans="1:38" hidden="1" x14ac:dyDescent="0.25">
      <c r="A61" s="220"/>
      <c r="B61" s="162">
        <f>IF(E61=0,0,MAX($B$8:B60)+1)</f>
        <v>0</v>
      </c>
      <c r="C61" s="163">
        <f>IF(E61=0,0,MAX($C$50:C60)+1)</f>
        <v>0</v>
      </c>
      <c r="D61" s="162">
        <f>IF(NSTonghop!AO61="",0,NSTonghop!E61)</f>
        <v>0</v>
      </c>
      <c r="E61" s="162">
        <f>IF(NSTonghop!AO61="",0,NSTonghop!F61)</f>
        <v>0</v>
      </c>
      <c r="F61" s="123">
        <f>IF($E61=0,0,NSTonghop!G61)</f>
        <v>0</v>
      </c>
      <c r="G61" s="123">
        <f>IF($E61=0,0,NSTonghop!H61)</f>
        <v>0</v>
      </c>
      <c r="H61" s="123">
        <f>IF($E61=0,0,NSTonghop!I61)</f>
        <v>0</v>
      </c>
      <c r="I61" s="125">
        <f t="shared" si="0"/>
        <v>0</v>
      </c>
      <c r="J61" s="125">
        <f t="shared" si="1"/>
        <v>0</v>
      </c>
      <c r="K61" s="123">
        <f>IF($E61=0,0,NSTonghop!L61)</f>
        <v>0</v>
      </c>
      <c r="L61" s="123">
        <f>IF($E61=0,0,NSTonghop!M61)</f>
        <v>0</v>
      </c>
      <c r="M61" s="123">
        <f>IF($E61=0,0,NSTonghop!N61)</f>
        <v>0</v>
      </c>
      <c r="N61" s="123">
        <f>IF($E61=0,0,NSTonghop!O61)</f>
        <v>0</v>
      </c>
      <c r="O61" s="123">
        <f>IF($E61=0,0,NSTonghop!P61)</f>
        <v>0</v>
      </c>
      <c r="P61" s="123">
        <f>IF($E61=0,0,NSTonghop!Q61)</f>
        <v>0</v>
      </c>
      <c r="Q61" s="123">
        <f>IF($E61=0,0,NSTonghop!R61)</f>
        <v>0</v>
      </c>
      <c r="R61" s="123">
        <f>IF($E61=0,0,NSTonghop!S61)</f>
        <v>0</v>
      </c>
      <c r="S61" s="123">
        <f>IF($E61=0,0,NSTonghop!T61)</f>
        <v>0</v>
      </c>
      <c r="T61" s="123">
        <f>IF($E61=0,0,NSTonghop!U61)</f>
        <v>0</v>
      </c>
      <c r="U61" s="123">
        <f>IF($E61=0,0,NSTonghop!V61)</f>
        <v>0</v>
      </c>
      <c r="V61" s="123">
        <f>IF($E61=0,0,NSTonghop!W61)</f>
        <v>0</v>
      </c>
      <c r="W61" s="241">
        <f>IF($E61=0,0,NSTonghop!Z61)</f>
        <v>0</v>
      </c>
      <c r="X61" s="241">
        <f>IF($E61=0,0,NSTonghop!AA61)</f>
        <v>0</v>
      </c>
      <c r="Y61" s="241">
        <f>IF($E61=0,0,NSTonghop!AB61)</f>
        <v>0</v>
      </c>
      <c r="Z61" s="241">
        <f>IF($E61=0,0,NSTonghop!AC61)</f>
        <v>0</v>
      </c>
      <c r="AA61" s="241">
        <f>IF($E61=0,0,NSTonghop!AD61)</f>
        <v>0</v>
      </c>
      <c r="AB61" s="241">
        <f>IF($E61=0,0,NSTonghop!AE61)</f>
        <v>0</v>
      </c>
      <c r="AC61" s="241">
        <f>IF($E61=0,0,NSTonghop!AF61)</f>
        <v>0</v>
      </c>
      <c r="AD61" s="241">
        <f>IF($E61=0,0,NSTonghop!AH61)</f>
        <v>0</v>
      </c>
      <c r="AE61" s="241">
        <f>IF($E61=0,0,NSTonghop!AJ61)</f>
        <v>0</v>
      </c>
      <c r="AF61" s="241">
        <f>IF($E61=0,0,NSTonghop!AK61)</f>
        <v>0</v>
      </c>
      <c r="AG61" s="241">
        <f>IF($E61=0,0,NSTonghop!AL61)</f>
        <v>0</v>
      </c>
      <c r="AH61" s="241">
        <f>IF($E61=0,0,NSTonghop!AO61)</f>
        <v>0</v>
      </c>
      <c r="AI61" s="241">
        <f>IF($E61=0,0,NSTonghop!AP61)</f>
        <v>0</v>
      </c>
      <c r="AJ61" s="241">
        <f>IF($E61=0,0,NSTonghop!AQ61)</f>
        <v>0</v>
      </c>
      <c r="AK61" s="241">
        <f>IF($E61=0,0,NSTonghop!AT61)</f>
        <v>0</v>
      </c>
      <c r="AL61" s="212"/>
    </row>
    <row r="62" spans="1:38" x14ac:dyDescent="0.25">
      <c r="A62" s="220"/>
      <c r="B62" s="162">
        <f>IF(E62=0,0,MAX($B$8:B61)+1)</f>
        <v>30</v>
      </c>
      <c r="C62" s="163">
        <f>IF(E62=0,0,MAX($C$50:C61)+1)</f>
        <v>6</v>
      </c>
      <c r="D62" s="162">
        <f>IF(NSTonghop!AO62="",0,NSTonghop!E62)</f>
        <v>0</v>
      </c>
      <c r="E62" s="162" t="str">
        <f>IF(NSTonghop!AO62="",0,NSTonghop!F62)</f>
        <v>Trần Thị Ngọc Hiền</v>
      </c>
      <c r="F62" s="123" t="str">
        <f>IF($E62=0,0,NSTonghop!G62)</f>
        <v>x</v>
      </c>
      <c r="G62" s="123">
        <f>IF($E62=0,0,NSTonghop!H62)</f>
        <v>0</v>
      </c>
      <c r="H62" s="123" t="str">
        <f>IF($E62=0,0,NSTonghop!I62)</f>
        <v>16/07/1989</v>
      </c>
      <c r="I62" s="125">
        <f t="shared" si="0"/>
        <v>0</v>
      </c>
      <c r="J62" s="125">
        <f t="shared" si="1"/>
        <v>1989</v>
      </c>
      <c r="K62" s="123" t="str">
        <f>IF($E62=0,0,NSTonghop!L62)</f>
        <v>GV</v>
      </c>
      <c r="L62" s="123">
        <f>IF($E62=0,0,NSTonghop!M62)</f>
        <v>0</v>
      </c>
      <c r="M62" s="123" t="str">
        <f>IF($E62=0,0,NSTonghop!N62)</f>
        <v>x</v>
      </c>
      <c r="N62" s="123" t="str">
        <f>IF($E62=0,0,NSTonghop!O62)</f>
        <v>Nông dân</v>
      </c>
      <c r="O62" s="123" t="str">
        <f>IF($E62=0,0,NSTonghop!P62)</f>
        <v>An Giang</v>
      </c>
      <c r="P62" s="123" t="str">
        <f>IF($E62=0,0,NSTonghop!Q62)</f>
        <v>Vĩnh Thạnh Trung-Châu Phú</v>
      </c>
      <c r="Q62" s="123" t="str">
        <f>IF($E62=0,0,NSTonghop!R62)</f>
        <v>Bình Lợi-Bình Chánh</v>
      </c>
      <c r="R62" s="123" t="str">
        <f>IF($E62=0,0,NSTonghop!S62)</f>
        <v>PTTH/07/TB</v>
      </c>
      <c r="S62" s="123" t="str">
        <f>IF($E62=0,0,NSTonghop!T62)</f>
        <v>ĐHCQ/Tin/12/Khá</v>
      </c>
      <c r="T62" s="123">
        <f>IF($E62=0,0,NSTonghop!U62)</f>
        <v>0</v>
      </c>
      <c r="U62" s="123">
        <f>IF($E62=0,0,NSTonghop!V62)</f>
        <v>0</v>
      </c>
      <c r="V62" s="123" t="str">
        <f>IF($E62=0,0,NSTonghop!W62)</f>
        <v>ĐHCQ</v>
      </c>
      <c r="W62" s="241">
        <f>IF($E62=0,0,NSTonghop!Z62)</f>
        <v>0</v>
      </c>
      <c r="X62" s="241">
        <f>IF($E62=0,0,NSTonghop!AA62)</f>
        <v>0</v>
      </c>
      <c r="Y62" s="241">
        <f>IF($E62=0,0,NSTonghop!AB62)</f>
        <v>0</v>
      </c>
      <c r="Z62" s="241" t="str">
        <f>IF($E62=0,0,NSTonghop!AC62)</f>
        <v>B/Anh/11/TB</v>
      </c>
      <c r="AA62" s="241">
        <f>IF($E62=0,0,NSTonghop!AD62)</f>
        <v>0</v>
      </c>
      <c r="AB62" s="241">
        <f>IF($E62=0,0,NSTonghop!AE62)</f>
        <v>0</v>
      </c>
      <c r="AC62" s="241">
        <f>IF($E62=0,0,NSTonghop!AF62)</f>
        <v>0</v>
      </c>
      <c r="AD62" s="241" t="str">
        <f>IF($E62=0,0,NSTonghop!AH62)</f>
        <v>CN/15/Khá</v>
      </c>
      <c r="AE62" s="241">
        <f>IF($E62=0,0,NSTonghop!AJ62)</f>
        <v>351853836</v>
      </c>
      <c r="AF62" s="241" t="str">
        <f>IF($E62=0,0,NSTonghop!AK62)</f>
        <v>10/08/2004</v>
      </c>
      <c r="AG62" s="241" t="str">
        <f>IF($E62=0,0,NSTonghop!AL62)</f>
        <v>01/09/2012</v>
      </c>
      <c r="AH62" s="241" t="str">
        <f>IF($E62=0,0,NSTonghop!AO62)</f>
        <v>24/01/2015</v>
      </c>
      <c r="AI62" s="241" t="str">
        <f>IF($E62=0,0,NSTonghop!AP62)</f>
        <v>Chưa thẻ</v>
      </c>
      <c r="AJ62" s="241">
        <f>IF($E62=0,0,NSTonghop!AQ62)</f>
        <v>2015</v>
      </c>
      <c r="AK62" s="241" t="str">
        <f>IF($E62=0,0,NSTonghop!AT62)</f>
        <v>0974827911</v>
      </c>
      <c r="AL62" s="212"/>
    </row>
    <row r="63" spans="1:38" x14ac:dyDescent="0.25">
      <c r="A63" s="220"/>
      <c r="B63" s="162">
        <f>IF(E63=0,0,MAX($B$8:B62)+1)</f>
        <v>31</v>
      </c>
      <c r="C63" s="163">
        <f>IF(E63=0,0,MAX($C$50:C62)+1)</f>
        <v>7</v>
      </c>
      <c r="D63" s="162" t="str">
        <f>IF(NSTonghop!AO63="",0,NSTonghop!E63)</f>
        <v>Chuyển Mỹ Đức 7/18</v>
      </c>
      <c r="E63" s="162" t="str">
        <f>IF(NSTonghop!AO63="",0,NSTonghop!F63)</f>
        <v>Lê Văn Có</v>
      </c>
      <c r="F63" s="123">
        <f>IF($E63=0,0,NSTonghop!G63)</f>
        <v>0</v>
      </c>
      <c r="G63" s="123" t="str">
        <f>IF($E63=0,0,NSTonghop!H63)</f>
        <v>05/11/1987</v>
      </c>
      <c r="H63" s="123">
        <f>IF($E63=0,0,NSTonghop!I63)</f>
        <v>0</v>
      </c>
      <c r="I63" s="125">
        <f t="shared" si="0"/>
        <v>1987</v>
      </c>
      <c r="J63" s="125">
        <f t="shared" si="1"/>
        <v>0</v>
      </c>
      <c r="K63" s="123" t="str">
        <f>IF($E63=0,0,NSTonghop!L63)</f>
        <v>GV</v>
      </c>
      <c r="L63" s="123">
        <f>IF($E63=0,0,NSTonghop!M63)</f>
        <v>0</v>
      </c>
      <c r="M63" s="123" t="str">
        <f>IF($E63=0,0,NSTonghop!N63)</f>
        <v>Hòa Hảo</v>
      </c>
      <c r="N63" s="123" t="str">
        <f>IF($E63=0,0,NSTonghop!O63)</f>
        <v>Nông dân</v>
      </c>
      <c r="O63" s="123" t="str">
        <f>IF($E63=0,0,NSTonghop!P63)</f>
        <v>Bình Chánh-AG</v>
      </c>
      <c r="P63" s="123" t="str">
        <f>IF($E63=0,0,NSTonghop!Q63)</f>
        <v>Bình Chánh-Châu Phú</v>
      </c>
      <c r="Q63" s="123" t="str">
        <f>IF($E63=0,0,NSTonghop!R63)</f>
        <v>Khánh Hòa-Khánh Hòa</v>
      </c>
      <c r="R63" s="123" t="str">
        <f>IF($E63=0,0,NSTonghop!S63)</f>
        <v>PTTH/06/Khá</v>
      </c>
      <c r="S63" s="123" t="str">
        <f>IF($E63=0,0,NSTonghop!T63)</f>
        <v>CĐ3/Toán-Tin/09/TB</v>
      </c>
      <c r="T63" s="123" t="str">
        <f>IF($E63=0,0,NSTonghop!U63)</f>
        <v>ĐHTX/Toán/14/Khá</v>
      </c>
      <c r="U63" s="123">
        <f>IF($E63=0,0,NSTonghop!V63)</f>
        <v>0</v>
      </c>
      <c r="V63" s="123" t="str">
        <f>IF($E63=0,0,NSTonghop!W63)</f>
        <v>ĐHTX</v>
      </c>
      <c r="W63" s="241">
        <f>IF($E63=0,0,NSTonghop!Z63)</f>
        <v>0</v>
      </c>
      <c r="X63" s="241">
        <f>IF($E63=0,0,NSTonghop!AA63)</f>
        <v>0</v>
      </c>
      <c r="Y63" s="241" t="str">
        <f>IF($E63=0,0,NSTonghop!AB63)</f>
        <v>A/09/Khá</v>
      </c>
      <c r="Z63" s="241" t="str">
        <f>IF($E63=0,0,NSTonghop!AC63)</f>
        <v>B/Anh/09/TB</v>
      </c>
      <c r="AA63" s="241">
        <f>IF($E63=0,0,NSTonghop!AD63)</f>
        <v>0</v>
      </c>
      <c r="AB63" s="241">
        <f>IF($E63=0,0,NSTonghop!AE63)</f>
        <v>0</v>
      </c>
      <c r="AC63" s="241">
        <f>IF($E63=0,0,NSTonghop!AF63)</f>
        <v>0</v>
      </c>
      <c r="AD63" s="241" t="str">
        <f>IF($E63=0,0,NSTonghop!AH63)</f>
        <v>CC/13/Giỏi</v>
      </c>
      <c r="AE63" s="241">
        <f>IF($E63=0,0,NSTonghop!AJ63)</f>
        <v>351732117</v>
      </c>
      <c r="AF63" s="241" t="str">
        <f>IF($E63=0,0,NSTonghop!AK63)</f>
        <v>12/08/2002</v>
      </c>
      <c r="AG63" s="241" t="str">
        <f>IF($E63=0,0,NSTonghop!AL63)</f>
        <v>01/09/2009</v>
      </c>
      <c r="AH63" s="241" t="str">
        <f>IF($E63=0,0,NSTonghop!AO63)</f>
        <v>08/06/2012</v>
      </c>
      <c r="AI63" s="241" t="str">
        <f>IF($E63=0,0,NSTonghop!AP63)</f>
        <v>31.049 783</v>
      </c>
      <c r="AJ63" s="241">
        <f>IF($E63=0,0,NSTonghop!AQ63)</f>
        <v>2012</v>
      </c>
      <c r="AK63" s="241">
        <f>IF($E63=0,0,NSTonghop!AT63)</f>
        <v>0</v>
      </c>
      <c r="AL63" s="212"/>
    </row>
    <row r="64" spans="1:38" x14ac:dyDescent="0.25">
      <c r="A64" s="220"/>
      <c r="B64" s="162">
        <f>IF(E64=0,0,MAX($B$8:B63)+1)</f>
        <v>32</v>
      </c>
      <c r="C64" s="163">
        <f>IF(E64=0,0,MAX($C$50:C63)+1)</f>
        <v>8</v>
      </c>
      <c r="D64" s="162">
        <f>IF(NSTonghop!AO64="",0,NSTonghop!E64)</f>
        <v>0</v>
      </c>
      <c r="E64" s="162" t="str">
        <f>IF(NSTonghop!AO64="",0,NSTonghop!F64)</f>
        <v>Lê Văn Thân</v>
      </c>
      <c r="F64" s="123">
        <f>IF($E64=0,0,NSTonghop!G64)</f>
        <v>0</v>
      </c>
      <c r="G64" s="123" t="str">
        <f>IF($E64=0,0,NSTonghop!H64)</f>
        <v>18/11/1991</v>
      </c>
      <c r="H64" s="123">
        <f>IF($E64=0,0,NSTonghop!I64)</f>
        <v>0</v>
      </c>
      <c r="I64" s="125">
        <f t="shared" si="0"/>
        <v>1991</v>
      </c>
      <c r="J64" s="125">
        <f t="shared" si="1"/>
        <v>0</v>
      </c>
      <c r="K64" s="123" t="str">
        <f>IF($E64=0,0,NSTonghop!L64)</f>
        <v>GV</v>
      </c>
      <c r="L64" s="123">
        <f>IF($E64=0,0,NSTonghop!M64)</f>
        <v>0</v>
      </c>
      <c r="M64" s="123" t="str">
        <f>IF($E64=0,0,NSTonghop!N64)</f>
        <v>Hòa Hảo</v>
      </c>
      <c r="N64" s="123" t="str">
        <f>IF($E64=0,0,NSTonghop!O64)</f>
        <v>Nông dân</v>
      </c>
      <c r="O64" s="123" t="str">
        <f>IF($E64=0,0,NSTonghop!P64)</f>
        <v>Bình Phú-AG</v>
      </c>
      <c r="P64" s="123" t="str">
        <f>IF($E64=0,0,NSTonghop!Q64)</f>
        <v>Bình Chánh-Châu Phú</v>
      </c>
      <c r="Q64" s="123" t="str">
        <f>IF($E64=0,0,NSTonghop!R64)</f>
        <v>Bình Lợi-Bình Chánh</v>
      </c>
      <c r="R64" s="123" t="str">
        <f>IF($E64=0,0,NSTonghop!S64)</f>
        <v>PTTH/09/TB</v>
      </c>
      <c r="S64" s="123" t="str">
        <f>IF($E64=0,0,NSTonghop!T64)</f>
        <v>CĐ3/Tin/13/TB</v>
      </c>
      <c r="T64" s="123" t="str">
        <f>IF($E64=0,0,NSTonghop!U64)</f>
        <v>ĐHTC</v>
      </c>
      <c r="U64" s="123">
        <f>IF($E64=0,0,NSTonghop!V64)</f>
        <v>0</v>
      </c>
      <c r="V64" s="123" t="str">
        <f>IF($E64=0,0,NSTonghop!W64)</f>
        <v>ĐHTC</v>
      </c>
      <c r="W64" s="241">
        <f>IF($E64=0,0,NSTonghop!Z64)</f>
        <v>0</v>
      </c>
      <c r="X64" s="241">
        <f>IF($E64=0,0,NSTonghop!AA64)</f>
        <v>0</v>
      </c>
      <c r="Y64" s="241">
        <f>IF($E64=0,0,NSTonghop!AB64)</f>
        <v>0</v>
      </c>
      <c r="Z64" s="241" t="str">
        <f>IF($E64=0,0,NSTonghop!AC64)</f>
        <v>B/Anh/14/TB</v>
      </c>
      <c r="AA64" s="241">
        <f>IF($E64=0,0,NSTonghop!AD64)</f>
        <v>0</v>
      </c>
      <c r="AB64" s="241">
        <f>IF($E64=0,0,NSTonghop!AE64)</f>
        <v>0</v>
      </c>
      <c r="AC64" s="241">
        <f>IF($E64=0,0,NSTonghop!AF64)</f>
        <v>0</v>
      </c>
      <c r="AD64" s="241">
        <f>IF($E64=0,0,NSTonghop!AH64)</f>
        <v>0</v>
      </c>
      <c r="AE64" s="241">
        <f>IF($E64=0,0,NSTonghop!AJ64)</f>
        <v>351995826</v>
      </c>
      <c r="AF64" s="241" t="str">
        <f>IF($E64=0,0,NSTonghop!AK64)</f>
        <v>15/10/2012</v>
      </c>
      <c r="AG64" s="241" t="str">
        <f>IF($E64=0,0,NSTonghop!AL64)</f>
        <v>01/09/2013</v>
      </c>
      <c r="AH64" s="241" t="str">
        <f>IF($E64=0,0,NSTonghop!AO64)</f>
        <v>23/02/2019</v>
      </c>
      <c r="AI64" s="241" t="str">
        <f>IF($E64=0,0,NSTonghop!AP64)</f>
        <v>Chưa thẻ</v>
      </c>
      <c r="AJ64" s="241">
        <f>IF($E64=0,0,NSTonghop!AQ64)</f>
        <v>2019</v>
      </c>
      <c r="AK64" s="241" t="str">
        <f>IF($E64=0,0,NSTonghop!AT64)</f>
        <v>0367919303</v>
      </c>
      <c r="AL64" s="212"/>
    </row>
    <row r="65" spans="1:38" hidden="1" x14ac:dyDescent="0.25">
      <c r="A65" s="220"/>
      <c r="B65" s="162">
        <f>IF(E65=0,0,MAX($B$8:B64)+1)</f>
        <v>0</v>
      </c>
      <c r="C65" s="163">
        <f>IF(E65=0,0,MAX($C$50:C64)+1)</f>
        <v>0</v>
      </c>
      <c r="D65" s="162">
        <f>IF(NSTonghop!AO65="",0,NSTonghop!E65)</f>
        <v>0</v>
      </c>
      <c r="E65" s="162">
        <f>IF(NSTonghop!AO65="",0,NSTonghop!F65)</f>
        <v>0</v>
      </c>
      <c r="F65" s="123">
        <f>IF($E65=0,0,NSTonghop!G65)</f>
        <v>0</v>
      </c>
      <c r="G65" s="123">
        <f>IF($E65=0,0,NSTonghop!H65)</f>
        <v>0</v>
      </c>
      <c r="H65" s="123">
        <f>IF($E65=0,0,NSTonghop!I65)</f>
        <v>0</v>
      </c>
      <c r="I65" s="125">
        <f t="shared" si="0"/>
        <v>0</v>
      </c>
      <c r="J65" s="125">
        <f t="shared" si="1"/>
        <v>0</v>
      </c>
      <c r="K65" s="123">
        <f>IF($E65=0,0,NSTonghop!L65)</f>
        <v>0</v>
      </c>
      <c r="L65" s="123">
        <f>IF($E65=0,0,NSTonghop!M65)</f>
        <v>0</v>
      </c>
      <c r="M65" s="123">
        <f>IF($E65=0,0,NSTonghop!N65)</f>
        <v>0</v>
      </c>
      <c r="N65" s="123">
        <f>IF($E65=0,0,NSTonghop!O65)</f>
        <v>0</v>
      </c>
      <c r="O65" s="123">
        <f>IF($E65=0,0,NSTonghop!P65)</f>
        <v>0</v>
      </c>
      <c r="P65" s="123">
        <f>IF($E65=0,0,NSTonghop!Q65)</f>
        <v>0</v>
      </c>
      <c r="Q65" s="123">
        <f>IF($E65=0,0,NSTonghop!R65)</f>
        <v>0</v>
      </c>
      <c r="R65" s="123">
        <f>IF($E65=0,0,NSTonghop!S65)</f>
        <v>0</v>
      </c>
      <c r="S65" s="123">
        <f>IF($E65=0,0,NSTonghop!T65)</f>
        <v>0</v>
      </c>
      <c r="T65" s="123">
        <f>IF($E65=0,0,NSTonghop!U65)</f>
        <v>0</v>
      </c>
      <c r="U65" s="123">
        <f>IF($E65=0,0,NSTonghop!V65)</f>
        <v>0</v>
      </c>
      <c r="V65" s="123">
        <f>IF($E65=0,0,NSTonghop!W65)</f>
        <v>0</v>
      </c>
      <c r="W65" s="241">
        <f>IF($E65=0,0,NSTonghop!Z65)</f>
        <v>0</v>
      </c>
      <c r="X65" s="241">
        <f>IF($E65=0,0,NSTonghop!AA65)</f>
        <v>0</v>
      </c>
      <c r="Y65" s="241">
        <f>IF($E65=0,0,NSTonghop!AB65)</f>
        <v>0</v>
      </c>
      <c r="Z65" s="241">
        <f>IF($E65=0,0,NSTonghop!AC65)</f>
        <v>0</v>
      </c>
      <c r="AA65" s="241">
        <f>IF($E65=0,0,NSTonghop!AD65)</f>
        <v>0</v>
      </c>
      <c r="AB65" s="241">
        <f>IF($E65=0,0,NSTonghop!AE65)</f>
        <v>0</v>
      </c>
      <c r="AC65" s="241">
        <f>IF($E65=0,0,NSTonghop!AF65)</f>
        <v>0</v>
      </c>
      <c r="AD65" s="241">
        <f>IF($E65=0,0,NSTonghop!AH65)</f>
        <v>0</v>
      </c>
      <c r="AE65" s="241">
        <f>IF($E65=0,0,NSTonghop!AJ65)</f>
        <v>0</v>
      </c>
      <c r="AF65" s="241">
        <f>IF($E65=0,0,NSTonghop!AK65)</f>
        <v>0</v>
      </c>
      <c r="AG65" s="241">
        <f>IF($E65=0,0,NSTonghop!AL65)</f>
        <v>0</v>
      </c>
      <c r="AH65" s="241">
        <f>IF($E65=0,0,NSTonghop!AO65)</f>
        <v>0</v>
      </c>
      <c r="AI65" s="241">
        <f>IF($E65=0,0,NSTonghop!AP65)</f>
        <v>0</v>
      </c>
      <c r="AJ65" s="241">
        <f>IF($E65=0,0,NSTonghop!AQ65)</f>
        <v>0</v>
      </c>
      <c r="AK65" s="241">
        <f>IF($E65=0,0,NSTonghop!AT65)</f>
        <v>0</v>
      </c>
      <c r="AL65" s="212"/>
    </row>
    <row r="66" spans="1:38" x14ac:dyDescent="0.25">
      <c r="A66" s="220"/>
      <c r="B66" s="162">
        <f>IF(E66=0,0,MAX($B$8:B65)+1)</f>
        <v>33</v>
      </c>
      <c r="C66" s="174">
        <f>IF(E66=0,0,MAX($C$50:C65)+1)</f>
        <v>9</v>
      </c>
      <c r="D66" s="173" t="str">
        <f>IF(NSTonghop!AO66="",0,NSTonghop!E66)</f>
        <v>Chuyển Mỹ Đức 7/19</v>
      </c>
      <c r="E66" s="173" t="str">
        <f>IF(NSTonghop!AO66="",0,NSTonghop!F66)</f>
        <v>Lê An Bình</v>
      </c>
      <c r="F66" s="145">
        <f>IF($E66=0,0,NSTonghop!G66)</f>
        <v>0</v>
      </c>
      <c r="G66" s="145" t="str">
        <f>IF($E66=0,0,NSTonghop!H66)</f>
        <v>07/12/1987</v>
      </c>
      <c r="H66" s="145">
        <f>IF($E66=0,0,NSTonghop!I66)</f>
        <v>0</v>
      </c>
      <c r="I66" s="147">
        <f t="shared" si="0"/>
        <v>1987</v>
      </c>
      <c r="J66" s="147">
        <f t="shared" si="1"/>
        <v>0</v>
      </c>
      <c r="K66" s="145" t="str">
        <f>IF($E66=0,0,NSTonghop!L66)</f>
        <v>GV</v>
      </c>
      <c r="L66" s="145">
        <f>IF($E66=0,0,NSTonghop!M66)</f>
        <v>0</v>
      </c>
      <c r="M66" s="145">
        <f>IF($E66=0,0,NSTonghop!N66)</f>
        <v>0</v>
      </c>
      <c r="N66" s="145" t="str">
        <f>IF($E66=0,0,NSTonghop!O66)</f>
        <v>Nông dân</v>
      </c>
      <c r="O66" s="145" t="str">
        <f>IF($E66=0,0,NSTonghop!P66)</f>
        <v>Mỹ Phú-An Giang</v>
      </c>
      <c r="P66" s="145" t="str">
        <f>IF($E66=0,0,NSTonghop!Q66)</f>
        <v>Mỹ Phú-Châu Phú</v>
      </c>
      <c r="Q66" s="145" t="str">
        <f>IF($E66=0,0,NSTonghop!R66)</f>
        <v>Mỹ Hiệp-Mỹ Đức</v>
      </c>
      <c r="R66" s="145" t="str">
        <f>IF($E66=0,0,NSTonghop!S66)</f>
        <v>PTTH/06/TB</v>
      </c>
      <c r="S66" s="145" t="str">
        <f>IF($E66=0,0,NSTonghop!T66)</f>
        <v>ĐHTC/Tin/10/TB</v>
      </c>
      <c r="T66" s="145">
        <f>IF($E66=0,0,NSTonghop!U66)</f>
        <v>0</v>
      </c>
      <c r="U66" s="145">
        <f>IF($E66=0,0,NSTonghop!V66)</f>
        <v>0</v>
      </c>
      <c r="V66" s="145" t="str">
        <f>IF($E66=0,0,NSTonghop!W66)</f>
        <v>ĐHTC</v>
      </c>
      <c r="W66" s="242">
        <f>IF($E66=0,0,NSTonghop!Z66)</f>
        <v>0</v>
      </c>
      <c r="X66" s="242">
        <f>IF($E66=0,0,NSTonghop!AA66)</f>
        <v>0</v>
      </c>
      <c r="Y66" s="242" t="str">
        <f>IF($E66=0,0,NSTonghop!AB66)</f>
        <v>A/05/Giỏi</v>
      </c>
      <c r="Z66" s="242" t="str">
        <f>IF($E66=0,0,NSTonghop!AC66)</f>
        <v>A/Anh/08/TB</v>
      </c>
      <c r="AA66" s="242">
        <f>IF($E66=0,0,NSTonghop!AD66)</f>
        <v>0</v>
      </c>
      <c r="AB66" s="242">
        <f>IF($E66=0,0,NSTonghop!AE66)</f>
        <v>0</v>
      </c>
      <c r="AC66" s="242">
        <f>IF($E66=0,0,NSTonghop!AF66)</f>
        <v>0</v>
      </c>
      <c r="AD66" s="242">
        <f>IF($E66=0,0,NSTonghop!AH66)</f>
        <v>0</v>
      </c>
      <c r="AE66" s="242">
        <f>IF($E66=0,0,NSTonghop!AJ66)</f>
        <v>351777761</v>
      </c>
      <c r="AF66" s="242" t="str">
        <f>IF($E66=0,0,NSTonghop!AK66)</f>
        <v>12/4/2005</v>
      </c>
      <c r="AG66" s="242" t="str">
        <f>IF($E66=0,0,NSTonghop!AL66)</f>
        <v>01/9/2011</v>
      </c>
      <c r="AH66" s="242" t="str">
        <f>IF($E66=0,0,NSTonghop!AO66)</f>
        <v>27/7/2013</v>
      </c>
      <c r="AI66" s="242" t="str">
        <f>IF($E66=0,0,NSTonghop!AP66)</f>
        <v>Chuyển</v>
      </c>
      <c r="AJ66" s="242">
        <f>IF($E66=0,0,NSTonghop!AQ66)</f>
        <v>2013</v>
      </c>
      <c r="AK66" s="242" t="str">
        <f>IF($E66=0,0,NSTonghop!AT66)</f>
        <v>0975273542</v>
      </c>
      <c r="AL66" s="212"/>
    </row>
    <row r="67" spans="1:38" s="118" customFormat="1" ht="16.5" customHeight="1" x14ac:dyDescent="0.25">
      <c r="A67" s="220"/>
      <c r="B67" s="224">
        <f>IF(E67=0,0,MAX($B$8:B66)+1)</f>
        <v>34</v>
      </c>
      <c r="C67" s="182">
        <f>IF(E67=0,0,1)</f>
        <v>1</v>
      </c>
      <c r="D67" s="122">
        <f>IF(NSTonghop!AO67="",0,NSTonghop!E67)</f>
        <v>0</v>
      </c>
      <c r="E67" s="122" t="str">
        <f>IF(NSTonghop!AO67="",0,NSTonghop!F67)</f>
        <v>Châu Trần Tân Quốc</v>
      </c>
      <c r="F67" s="123">
        <f>IF($E67=0,0,NSTonghop!G67)</f>
        <v>0</v>
      </c>
      <c r="G67" s="123" t="str">
        <f>IF($E67=0,0,NSTonghop!H67)</f>
        <v>19/05/1981</v>
      </c>
      <c r="H67" s="123">
        <f>IF($E67=0,0,NSTonghop!I67)</f>
        <v>0</v>
      </c>
      <c r="I67" s="185">
        <f t="shared" si="0"/>
        <v>1981</v>
      </c>
      <c r="J67" s="185">
        <f t="shared" si="1"/>
        <v>0</v>
      </c>
      <c r="K67" s="123" t="str">
        <f>IF($E67=0,0,NSTonghop!L67)</f>
        <v>GV</v>
      </c>
      <c r="L67" s="123">
        <f>IF($E67=0,0,NSTonghop!M67)</f>
        <v>0</v>
      </c>
      <c r="M67" s="123" t="str">
        <f>IF($E67=0,0,NSTonghop!N67)</f>
        <v>Hiếu Nghĩa</v>
      </c>
      <c r="N67" s="123" t="str">
        <f>IF($E67=0,0,NSTonghop!O67)</f>
        <v>Trí thức</v>
      </c>
      <c r="O67" s="123" t="str">
        <f>IF($E67=0,0,NSTonghop!P67)</f>
        <v>Cái Dầu-AG</v>
      </c>
      <c r="P67" s="123" t="str">
        <f>IF($E67=0,0,NSTonghop!Q67)</f>
        <v>Cái Dầu-Châu Phú</v>
      </c>
      <c r="Q67" s="123" t="str">
        <f>IF($E67=0,0,NSTonghop!R67)</f>
        <v>704 Vĩnh Thành-Cái Dầu</v>
      </c>
      <c r="R67" s="123" t="str">
        <f>IF($E67=0,0,NSTonghop!S67)</f>
        <v>PTTH/99/Khá</v>
      </c>
      <c r="S67" s="123" t="str">
        <f>IF($E67=0,0,NSTonghop!T67)</f>
        <v>CĐ3/Hóa-Sinh/04/Khá</v>
      </c>
      <c r="T67" s="123" t="str">
        <f>IF($E67=0,0,NSTonghop!U67)</f>
        <v>ĐHTX/Hóa/08/Khá</v>
      </c>
      <c r="U67" s="123" t="str">
        <f>IF($E67=0,0,NSTonghop!V67)</f>
        <v>ThsCQ/Hóa/14/Giỏi</v>
      </c>
      <c r="V67" s="123" t="str">
        <f>IF($E67=0,0,NSTonghop!W67)</f>
        <v>ThsC</v>
      </c>
      <c r="W67" s="241" t="str">
        <f>IF($E67=0,0,NSTonghop!Z67)</f>
        <v>QLGD/15/Khá</v>
      </c>
      <c r="X67" s="241" t="str">
        <f>IF($E67=0,0,NSTonghop!AA67)</f>
        <v>SC/15</v>
      </c>
      <c r="Y67" s="241" t="str">
        <f>IF($E67=0,0,NSTonghop!AB67)</f>
        <v>A/07/Khá</v>
      </c>
      <c r="Z67" s="241" t="str">
        <f>IF($E67=0,0,NSTonghop!AC67)</f>
        <v>B1/Anh/14</v>
      </c>
      <c r="AA67" s="241" t="str">
        <f>IF($E67=0,0,NSTonghop!AD67)</f>
        <v>B/Anh/09/TB</v>
      </c>
      <c r="AB67" s="241">
        <f>IF($E67=0,0,NSTonghop!AE67)</f>
        <v>0</v>
      </c>
      <c r="AC67" s="241">
        <f>IF($E67=0,0,NSTonghop!AF67)</f>
        <v>0</v>
      </c>
      <c r="AD67" s="241" t="str">
        <f>IF($E67=0,0,NSTonghop!AH67)</f>
        <v>CN/06/Khá</v>
      </c>
      <c r="AE67" s="241">
        <f>IF($E67=0,0,NSTonghop!AJ67)</f>
        <v>351366246</v>
      </c>
      <c r="AF67" s="241" t="str">
        <f>IF($E67=0,0,NSTonghop!AK67)</f>
        <v>13/04/2015</v>
      </c>
      <c r="AG67" s="241" t="str">
        <f>IF($E67=0,0,NSTonghop!AL67)</f>
        <v>01/09/2004</v>
      </c>
      <c r="AH67" s="241" t="str">
        <f>IF($E67=0,0,NSTonghop!AO67)</f>
        <v>23/06/2009</v>
      </c>
      <c r="AI67" s="241" t="str">
        <f>IF($E67=0,0,NSTonghop!AP67)</f>
        <v>31.040 611</v>
      </c>
      <c r="AJ67" s="241">
        <f>IF($E67=0,0,NSTonghop!AQ67)</f>
        <v>2009</v>
      </c>
      <c r="AK67" s="241" t="str">
        <f>IF($E67=0,0,NSTonghop!AT67)</f>
        <v>0917462746</v>
      </c>
      <c r="AL67" s="212"/>
    </row>
    <row r="68" spans="1:38" s="118" customFormat="1" x14ac:dyDescent="0.25">
      <c r="A68" s="220"/>
      <c r="B68" s="162">
        <f>IF(E68=0,0,MAX($B$8:B67)+1)</f>
        <v>35</v>
      </c>
      <c r="C68" s="132">
        <f>IF(E68=0,0,MAX($C$67:C67)+1)</f>
        <v>2</v>
      </c>
      <c r="D68" s="128">
        <f>IF(NSTonghop!AO68="",0,NSTonghop!E68)</f>
        <v>0</v>
      </c>
      <c r="E68" s="128" t="str">
        <f>IF(NSTonghop!AO68="",0,NSTonghop!F68)</f>
        <v>Nguyễn Thanh Hiệp</v>
      </c>
      <c r="F68" s="123">
        <f>IF($E68=0,0,NSTonghop!G68)</f>
        <v>0</v>
      </c>
      <c r="G68" s="123" t="str">
        <f>IF($E68=0,0,NSTonghop!H68)</f>
        <v>13/09/1983</v>
      </c>
      <c r="H68" s="123">
        <f>IF($E68=0,0,NSTonghop!I68)</f>
        <v>0</v>
      </c>
      <c r="I68" s="125">
        <f t="shared" si="0"/>
        <v>1983</v>
      </c>
      <c r="J68" s="125">
        <f t="shared" si="1"/>
        <v>0</v>
      </c>
      <c r="K68" s="123" t="str">
        <f>IF($E68=0,0,NSTonghop!L68)</f>
        <v>GV</v>
      </c>
      <c r="L68" s="123">
        <f>IF($E68=0,0,NSTonghop!M68)</f>
        <v>0</v>
      </c>
      <c r="M68" s="123" t="str">
        <f>IF($E68=0,0,NSTonghop!N68)</f>
        <v>Hiếu Nghĩa</v>
      </c>
      <c r="N68" s="123" t="str">
        <f>IF($E68=0,0,NSTonghop!O68)</f>
        <v>Nông dân</v>
      </c>
      <c r="O68" s="123" t="str">
        <f>IF($E68=0,0,NSTonghop!P68)</f>
        <v>Vĩnh Thạnh Trung-AG</v>
      </c>
      <c r="P68" s="123" t="str">
        <f>IF($E68=0,0,NSTonghop!Q68)</f>
        <v>Vĩnh Thạnh Trung-Châu Phú</v>
      </c>
      <c r="Q68" s="123" t="str">
        <f>IF($E68=0,0,NSTonghop!R68)</f>
        <v>532/21 Vĩnh Quới-VTT</v>
      </c>
      <c r="R68" s="123" t="str">
        <f>IF($E68=0,0,NSTonghop!S68)</f>
        <v>PTTH/02/Khá</v>
      </c>
      <c r="S68" s="123" t="str">
        <f>IF($E68=0,0,NSTonghop!T68)</f>
        <v>CĐ3/Lý-KTCN/08/TBK</v>
      </c>
      <c r="T68" s="123">
        <f>IF($E68=0,0,NSTonghop!U68)</f>
        <v>0</v>
      </c>
      <c r="U68" s="123">
        <f>IF($E68=0,0,NSTonghop!V68)</f>
        <v>0</v>
      </c>
      <c r="V68" s="123" t="str">
        <f>IF($E68=0,0,NSTonghop!W68)</f>
        <v>CĐ3/</v>
      </c>
      <c r="W68" s="241">
        <f>IF($E68=0,0,NSTonghop!Z68)</f>
        <v>0</v>
      </c>
      <c r="X68" s="241">
        <f>IF($E68=0,0,NSTonghop!AA68)</f>
        <v>0</v>
      </c>
      <c r="Y68" s="241" t="str">
        <f>IF($E68=0,0,NSTonghop!AB68)</f>
        <v>A/06/TB</v>
      </c>
      <c r="Z68" s="241">
        <f>IF($E68=0,0,NSTonghop!AC68)</f>
        <v>0</v>
      </c>
      <c r="AA68" s="241">
        <f>IF($E68=0,0,NSTonghop!AD68)</f>
        <v>0</v>
      </c>
      <c r="AB68" s="241">
        <f>IF($E68=0,0,NSTonghop!AE68)</f>
        <v>0</v>
      </c>
      <c r="AC68" s="241">
        <f>IF($E68=0,0,NSTonghop!AF68)</f>
        <v>0</v>
      </c>
      <c r="AD68" s="241" t="str">
        <f>IF($E68=0,0,NSTonghop!AH68)</f>
        <v>CN/15/Khá</v>
      </c>
      <c r="AE68" s="241">
        <f>IF($E68=0,0,NSTonghop!AJ68)</f>
        <v>351466527</v>
      </c>
      <c r="AF68" s="241" t="str">
        <f>IF($E68=0,0,NSTonghop!AK68)</f>
        <v>16/07/2013</v>
      </c>
      <c r="AG68" s="241" t="str">
        <f>IF($E68=0,0,NSTonghop!AL68)</f>
        <v>01/09/2009</v>
      </c>
      <c r="AH68" s="241" t="str">
        <f>IF($E68=0,0,NSTonghop!AO68)</f>
        <v>24/08/2013</v>
      </c>
      <c r="AI68" s="241" t="str">
        <f>IF($E68=0,0,NSTonghop!AP68)</f>
        <v>31.054 652</v>
      </c>
      <c r="AJ68" s="241">
        <f>IF($E68=0,0,NSTonghop!AQ68)</f>
        <v>2013</v>
      </c>
      <c r="AK68" s="241" t="str">
        <f>IF($E68=0,0,NSTonghop!AT68)</f>
        <v>0378908576</v>
      </c>
      <c r="AL68" s="212"/>
    </row>
    <row r="69" spans="1:38" s="118" customFormat="1" x14ac:dyDescent="0.25">
      <c r="A69" s="220"/>
      <c r="B69" s="224">
        <f>IF(E69=0,0,MAX($B$8:B68)+1)</f>
        <v>36</v>
      </c>
      <c r="C69" s="132">
        <f>IF(E69=0,0,MAX($C$67:C68)+1)</f>
        <v>3</v>
      </c>
      <c r="D69" s="128">
        <f>IF(NSTonghop!AO69="",0,NSTonghop!E69)</f>
        <v>0</v>
      </c>
      <c r="E69" s="128" t="str">
        <f>IF(NSTonghop!AO69="",0,NSTonghop!F69)</f>
        <v>Nguyễn Thanh Tùng</v>
      </c>
      <c r="F69" s="123">
        <f>IF($E69=0,0,NSTonghop!G69)</f>
        <v>0</v>
      </c>
      <c r="G69" s="123" t="str">
        <f>IF($E69=0,0,NSTonghop!H69)</f>
        <v>25/04/1985</v>
      </c>
      <c r="H69" s="123">
        <f>IF($E69=0,0,NSTonghop!I69)</f>
        <v>0</v>
      </c>
      <c r="I69" s="125">
        <f t="shared" si="0"/>
        <v>1985</v>
      </c>
      <c r="J69" s="125">
        <f t="shared" si="1"/>
        <v>0</v>
      </c>
      <c r="K69" s="123" t="str">
        <f>IF($E69=0,0,NSTonghop!L69)</f>
        <v>GV</v>
      </c>
      <c r="L69" s="123">
        <f>IF($E69=0,0,NSTonghop!M69)</f>
        <v>0</v>
      </c>
      <c r="M69" s="123" t="str">
        <f>IF($E69=0,0,NSTonghop!N69)</f>
        <v>Hòa Hảo</v>
      </c>
      <c r="N69" s="123" t="str">
        <f>IF($E69=0,0,NSTonghop!O69)</f>
        <v>Nông dân</v>
      </c>
      <c r="O69" s="123" t="str">
        <f>IF($E69=0,0,NSTonghop!P69)</f>
        <v>Cái Dầu-AG</v>
      </c>
      <c r="P69" s="123" t="str">
        <f>IF($E69=0,0,NSTonghop!Q69)</f>
        <v>Cái Dầu-Châu Phú</v>
      </c>
      <c r="Q69" s="123" t="str">
        <f>IF($E69=0,0,NSTonghop!R69)</f>
        <v>187/7 Bình Hòa-Cái Dầu</v>
      </c>
      <c r="R69" s="123" t="str">
        <f>IF($E69=0,0,NSTonghop!S69)</f>
        <v>PTTH/03/TB</v>
      </c>
      <c r="S69" s="123" t="str">
        <f>IF($E69=0,0,NSTonghop!T69)</f>
        <v>CĐ3/Lý-KTCN/06/TBK</v>
      </c>
      <c r="T69" s="123" t="str">
        <f>IF($E69=0,0,NSTonghop!U69)</f>
        <v>ĐHTX/Lý/10/Khá</v>
      </c>
      <c r="U69" s="123">
        <f>IF($E69=0,0,NSTonghop!V69)</f>
        <v>0</v>
      </c>
      <c r="V69" s="123" t="str">
        <f>IF($E69=0,0,NSTonghop!W69)</f>
        <v>ĐHTX</v>
      </c>
      <c r="W69" s="241">
        <f>IF($E69=0,0,NSTonghop!Z69)</f>
        <v>0</v>
      </c>
      <c r="X69" s="241">
        <f>IF($E69=0,0,NSTonghop!AA69)</f>
        <v>0</v>
      </c>
      <c r="Y69" s="241" t="str">
        <f>IF($E69=0,0,NSTonghop!AB69)</f>
        <v>A/08/Giỏi</v>
      </c>
      <c r="Z69" s="241" t="str">
        <f>IF($E69=0,0,NSTonghop!AC69)</f>
        <v>B/Anh/06/TB</v>
      </c>
      <c r="AA69" s="241">
        <f>IF($E69=0,0,NSTonghop!AD69)</f>
        <v>0</v>
      </c>
      <c r="AB69" s="241">
        <f>IF($E69=0,0,NSTonghop!AE69)</f>
        <v>0</v>
      </c>
      <c r="AC69" s="241">
        <f>IF($E69=0,0,NSTonghop!AF69)</f>
        <v>0</v>
      </c>
      <c r="AD69" s="241" t="str">
        <f>IF($E69=0,0,NSTonghop!AH69)</f>
        <v>CN/07/</v>
      </c>
      <c r="AE69" s="241">
        <f>IF($E69=0,0,NSTonghop!AJ69)</f>
        <v>351577155</v>
      </c>
      <c r="AF69" s="241" t="str">
        <f>IF($E69=0,0,NSTonghop!AK69)</f>
        <v>30/09/2015</v>
      </c>
      <c r="AG69" s="241" t="str">
        <f>IF($E69=0,0,NSTonghop!AL69)</f>
        <v>01/09/2006</v>
      </c>
      <c r="AH69" s="241" t="str">
        <f>IF($E69=0,0,NSTonghop!AO69)</f>
        <v>03/11/2018</v>
      </c>
      <c r="AI69" s="241" t="str">
        <f>IF($E69=0,0,NSTonghop!AP69)</f>
        <v>Chưa thẻ</v>
      </c>
      <c r="AJ69" s="241">
        <f>IF($E69=0,0,NSTonghop!AQ69)</f>
        <v>2018</v>
      </c>
      <c r="AK69" s="241" t="str">
        <f>IF($E69=0,0,NSTonghop!AT69)</f>
        <v>0972772477</v>
      </c>
      <c r="AL69" s="212"/>
    </row>
    <row r="70" spans="1:38" s="118" customFormat="1" x14ac:dyDescent="0.25">
      <c r="A70" s="220"/>
      <c r="B70" s="128">
        <f>IF(E70=0,0,MAX($B$8:B69)+1)</f>
        <v>37</v>
      </c>
      <c r="C70" s="132">
        <f>IF(E70=0,0,MAX($C$67:C69)+1)</f>
        <v>4</v>
      </c>
      <c r="D70" s="128">
        <f>IF(NSTonghop!AO70="",0,NSTonghop!E70)</f>
        <v>0</v>
      </c>
      <c r="E70" s="128" t="str">
        <f>IF(NSTonghop!AO70="",0,NSTonghop!F70)</f>
        <v>Cao Thanh Phong</v>
      </c>
      <c r="F70" s="123">
        <f>IF($E70=0,0,NSTonghop!G70)</f>
        <v>0</v>
      </c>
      <c r="G70" s="123" t="str">
        <f>IF($E70=0,0,NSTonghop!H70)</f>
        <v>17/04/1976</v>
      </c>
      <c r="H70" s="123">
        <f>IF($E70=0,0,NSTonghop!I70)</f>
        <v>0</v>
      </c>
      <c r="I70" s="125">
        <f t="shared" si="0"/>
        <v>1976</v>
      </c>
      <c r="J70" s="125">
        <f t="shared" si="1"/>
        <v>0</v>
      </c>
      <c r="K70" s="123" t="str">
        <f>IF($E70=0,0,NSTonghop!L70)</f>
        <v>GV</v>
      </c>
      <c r="L70" s="123">
        <f>IF($E70=0,0,NSTonghop!M70)</f>
        <v>0</v>
      </c>
      <c r="M70" s="123" t="str">
        <f>IF($E70=0,0,NSTonghop!N70)</f>
        <v>Phật</v>
      </c>
      <c r="N70" s="123" t="str">
        <f>IF($E70=0,0,NSTonghop!O70)</f>
        <v>Bần nông</v>
      </c>
      <c r="O70" s="123" t="str">
        <f>IF($E70=0,0,NSTonghop!P70)</f>
        <v>Bình Long-An Giang</v>
      </c>
      <c r="P70" s="123" t="str">
        <f>IF($E70=0,0,NSTonghop!Q70)</f>
        <v>Bình Long-Châu Phú</v>
      </c>
      <c r="Q70" s="123" t="str">
        <f>IF($E70=0,0,NSTonghop!R70)</f>
        <v>Tổ 04 Chánh Hưng-Bình Long</v>
      </c>
      <c r="R70" s="123" t="str">
        <f>IF($E70=0,0,NSTonghop!S70)</f>
        <v>PTTH/96/TB</v>
      </c>
      <c r="S70" s="123" t="str">
        <f>IF($E70=0,0,NSTonghop!T70)</f>
        <v>CĐ3 KTĐiện/00/TB</v>
      </c>
      <c r="T70" s="123" t="str">
        <f>IF($E70=0,0,NSTonghop!U70)</f>
        <v>ĐHTC/KTCN/13/Khá</v>
      </c>
      <c r="U70" s="123" t="str">
        <f>IF($E70=0,0,NSTonghop!V70)</f>
        <v>ĐHTX/GDCT/12/Khá</v>
      </c>
      <c r="V70" s="123" t="str">
        <f>IF($E70=0,0,NSTonghop!W70)</f>
        <v>ĐHTX</v>
      </c>
      <c r="W70" s="241">
        <f>IF($E70=0,0,NSTonghop!Z70)</f>
        <v>0</v>
      </c>
      <c r="X70" s="241" t="str">
        <f>IF($E70=0,0,NSTonghop!AA70)</f>
        <v>SC/18</v>
      </c>
      <c r="Y70" s="241" t="str">
        <f>IF($E70=0,0,NSTonghop!AB70)</f>
        <v>A/08/Giỏi</v>
      </c>
      <c r="Z70" s="241">
        <f>IF($E70=0,0,NSTonghop!AC70)</f>
        <v>0</v>
      </c>
      <c r="AA70" s="241">
        <f>IF($E70=0,0,NSTonghop!AD70)</f>
        <v>0</v>
      </c>
      <c r="AB70" s="241">
        <f>IF($E70=0,0,NSTonghop!AE70)</f>
        <v>0</v>
      </c>
      <c r="AC70" s="241">
        <f>IF($E70=0,0,NSTonghop!AF70)</f>
        <v>0</v>
      </c>
      <c r="AD70" s="241" t="str">
        <f>IF($E70=0,0,NSTonghop!AH70)</f>
        <v>CN/15/TB</v>
      </c>
      <c r="AE70" s="241">
        <f>IF($E70=0,0,NSTonghop!AJ70)</f>
        <v>351230947</v>
      </c>
      <c r="AF70" s="241" t="str">
        <f>IF($E70=0,0,NSTonghop!AK70)</f>
        <v>13/07/2010</v>
      </c>
      <c r="AG70" s="241" t="str">
        <f>IF($E70=0,0,NSTonghop!AL70)</f>
        <v>01/05/2000</v>
      </c>
      <c r="AH70" s="241" t="str">
        <f>IF($E70=0,0,NSTonghop!AO70)</f>
        <v>22/11/2008</v>
      </c>
      <c r="AI70" s="241" t="str">
        <f>IF($E70=0,0,NSTonghop!AP70)</f>
        <v>31.038 083</v>
      </c>
      <c r="AJ70" s="241">
        <f>IF($E70=0,0,NSTonghop!AQ70)</f>
        <v>2008</v>
      </c>
      <c r="AK70" s="241" t="str">
        <f>IF($E70=0,0,NSTonghop!AT70)</f>
        <v>0907598297</v>
      </c>
      <c r="AL70" s="212"/>
    </row>
    <row r="71" spans="1:38" s="118" customFormat="1" hidden="1" x14ac:dyDescent="0.25">
      <c r="A71" s="220"/>
      <c r="B71" s="128">
        <f>IF(E71=0,0,MAX($B$8:B70)+1)</f>
        <v>0</v>
      </c>
      <c r="C71" s="132">
        <f>IF(E71=0,0,MAX($C$67:C70)+1)</f>
        <v>0</v>
      </c>
      <c r="D71" s="128">
        <f>IF(NSTonghop!AO71="",0,NSTonghop!E71)</f>
        <v>0</v>
      </c>
      <c r="E71" s="128">
        <f>IF(NSTonghop!AO71="",0,NSTonghop!F71)</f>
        <v>0</v>
      </c>
      <c r="F71" s="123">
        <f>IF($E71=0,0,NSTonghop!G71)</f>
        <v>0</v>
      </c>
      <c r="G71" s="123">
        <f>IF($E71=0,0,NSTonghop!H71)</f>
        <v>0</v>
      </c>
      <c r="H71" s="123">
        <f>IF($E71=0,0,NSTonghop!I71)</f>
        <v>0</v>
      </c>
      <c r="I71" s="125">
        <f t="shared" si="0"/>
        <v>0</v>
      </c>
      <c r="J71" s="125">
        <f t="shared" si="1"/>
        <v>0</v>
      </c>
      <c r="K71" s="123">
        <f>IF($E71=0,0,NSTonghop!L71)</f>
        <v>0</v>
      </c>
      <c r="L71" s="123">
        <f>IF($E71=0,0,NSTonghop!M71)</f>
        <v>0</v>
      </c>
      <c r="M71" s="123">
        <f>IF($E71=0,0,NSTonghop!N71)</f>
        <v>0</v>
      </c>
      <c r="N71" s="123">
        <f>IF($E71=0,0,NSTonghop!O71)</f>
        <v>0</v>
      </c>
      <c r="O71" s="123">
        <f>IF($E71=0,0,NSTonghop!P71)</f>
        <v>0</v>
      </c>
      <c r="P71" s="123">
        <f>IF($E71=0,0,NSTonghop!Q71)</f>
        <v>0</v>
      </c>
      <c r="Q71" s="123">
        <f>IF($E71=0,0,NSTonghop!R71)</f>
        <v>0</v>
      </c>
      <c r="R71" s="123">
        <f>IF($E71=0,0,NSTonghop!S71)</f>
        <v>0</v>
      </c>
      <c r="S71" s="123">
        <f>IF($E71=0,0,NSTonghop!T71)</f>
        <v>0</v>
      </c>
      <c r="T71" s="123">
        <f>IF($E71=0,0,NSTonghop!U71)</f>
        <v>0</v>
      </c>
      <c r="U71" s="123">
        <f>IF($E71=0,0,NSTonghop!V71)</f>
        <v>0</v>
      </c>
      <c r="V71" s="123">
        <f>IF($E71=0,0,NSTonghop!W71)</f>
        <v>0</v>
      </c>
      <c r="W71" s="241">
        <f>IF($E71=0,0,NSTonghop!Z71)</f>
        <v>0</v>
      </c>
      <c r="X71" s="241">
        <f>IF($E71=0,0,NSTonghop!AA71)</f>
        <v>0</v>
      </c>
      <c r="Y71" s="241">
        <f>IF($E71=0,0,NSTonghop!AB71)</f>
        <v>0</v>
      </c>
      <c r="Z71" s="241">
        <f>IF($E71=0,0,NSTonghop!AC71)</f>
        <v>0</v>
      </c>
      <c r="AA71" s="241">
        <f>IF($E71=0,0,NSTonghop!AD71)</f>
        <v>0</v>
      </c>
      <c r="AB71" s="241">
        <f>IF($E71=0,0,NSTonghop!AE71)</f>
        <v>0</v>
      </c>
      <c r="AC71" s="241">
        <f>IF($E71=0,0,NSTonghop!AF71)</f>
        <v>0</v>
      </c>
      <c r="AD71" s="241">
        <f>IF($E71=0,0,NSTonghop!AH71)</f>
        <v>0</v>
      </c>
      <c r="AE71" s="241">
        <f>IF($E71=0,0,NSTonghop!AJ71)</f>
        <v>0</v>
      </c>
      <c r="AF71" s="241">
        <f>IF($E71=0,0,NSTonghop!AK71)</f>
        <v>0</v>
      </c>
      <c r="AG71" s="241">
        <f>IF($E71=0,0,NSTonghop!AL71)</f>
        <v>0</v>
      </c>
      <c r="AH71" s="241">
        <f>IF($E71=0,0,NSTonghop!AO71)</f>
        <v>0</v>
      </c>
      <c r="AI71" s="241">
        <f>IF($E71=0,0,NSTonghop!AP71)</f>
        <v>0</v>
      </c>
      <c r="AJ71" s="241">
        <f>IF($E71=0,0,NSTonghop!AQ71)</f>
        <v>0</v>
      </c>
      <c r="AK71" s="241">
        <f>IF($E71=0,0,NSTonghop!AT71)</f>
        <v>0</v>
      </c>
      <c r="AL71" s="212"/>
    </row>
    <row r="72" spans="1:38" s="118" customFormat="1" hidden="1" x14ac:dyDescent="0.25">
      <c r="A72" s="220"/>
      <c r="B72" s="128">
        <f>IF(E72=0,0,MAX($B$8:B71)+1)</f>
        <v>0</v>
      </c>
      <c r="C72" s="132">
        <f>IF(E72=0,0,MAX($C$67:C71)+1)</f>
        <v>0</v>
      </c>
      <c r="D72" s="128">
        <f>IF(NSTonghop!AO72="",0,NSTonghop!E72)</f>
        <v>0</v>
      </c>
      <c r="E72" s="128">
        <f>IF(NSTonghop!AO72="",0,NSTonghop!F72)</f>
        <v>0</v>
      </c>
      <c r="F72" s="123">
        <f>IF($E72=0,0,NSTonghop!G72)</f>
        <v>0</v>
      </c>
      <c r="G72" s="123">
        <f>IF($E72=0,0,NSTonghop!H72)</f>
        <v>0</v>
      </c>
      <c r="H72" s="123">
        <f>IF($E72=0,0,NSTonghop!I72)</f>
        <v>0</v>
      </c>
      <c r="I72" s="125">
        <f t="shared" si="0"/>
        <v>0</v>
      </c>
      <c r="J72" s="125">
        <f t="shared" si="1"/>
        <v>0</v>
      </c>
      <c r="K72" s="123">
        <f>IF($E72=0,0,NSTonghop!L72)</f>
        <v>0</v>
      </c>
      <c r="L72" s="123">
        <f>IF($E72=0,0,NSTonghop!M72)</f>
        <v>0</v>
      </c>
      <c r="M72" s="123">
        <f>IF($E72=0,0,NSTonghop!N72)</f>
        <v>0</v>
      </c>
      <c r="N72" s="123">
        <f>IF($E72=0,0,NSTonghop!O72)</f>
        <v>0</v>
      </c>
      <c r="O72" s="123">
        <f>IF($E72=0,0,NSTonghop!P72)</f>
        <v>0</v>
      </c>
      <c r="P72" s="123">
        <f>IF($E72=0,0,NSTonghop!Q72)</f>
        <v>0</v>
      </c>
      <c r="Q72" s="123">
        <f>IF($E72=0,0,NSTonghop!R72)</f>
        <v>0</v>
      </c>
      <c r="R72" s="123">
        <f>IF($E72=0,0,NSTonghop!S72)</f>
        <v>0</v>
      </c>
      <c r="S72" s="123">
        <f>IF($E72=0,0,NSTonghop!T72)</f>
        <v>0</v>
      </c>
      <c r="T72" s="123">
        <f>IF($E72=0,0,NSTonghop!U72)</f>
        <v>0</v>
      </c>
      <c r="U72" s="123">
        <f>IF($E72=0,0,NSTonghop!V72)</f>
        <v>0</v>
      </c>
      <c r="V72" s="123">
        <f>IF($E72=0,0,NSTonghop!W72)</f>
        <v>0</v>
      </c>
      <c r="W72" s="241">
        <f>IF($E72=0,0,NSTonghop!Z72)</f>
        <v>0</v>
      </c>
      <c r="X72" s="241">
        <f>IF($E72=0,0,NSTonghop!AA72)</f>
        <v>0</v>
      </c>
      <c r="Y72" s="241">
        <f>IF($E72=0,0,NSTonghop!AB72)</f>
        <v>0</v>
      </c>
      <c r="Z72" s="241">
        <f>IF($E72=0,0,NSTonghop!AC72)</f>
        <v>0</v>
      </c>
      <c r="AA72" s="241">
        <f>IF($E72=0,0,NSTonghop!AD72)</f>
        <v>0</v>
      </c>
      <c r="AB72" s="241">
        <f>IF($E72=0,0,NSTonghop!AE72)</f>
        <v>0</v>
      </c>
      <c r="AC72" s="241">
        <f>IF($E72=0,0,NSTonghop!AF72)</f>
        <v>0</v>
      </c>
      <c r="AD72" s="241">
        <f>IF($E72=0,0,NSTonghop!AH72)</f>
        <v>0</v>
      </c>
      <c r="AE72" s="241">
        <f>IF($E72=0,0,NSTonghop!AJ72)</f>
        <v>0</v>
      </c>
      <c r="AF72" s="241">
        <f>IF($E72=0,0,NSTonghop!AK72)</f>
        <v>0</v>
      </c>
      <c r="AG72" s="241">
        <f>IF($E72=0,0,NSTonghop!AL72)</f>
        <v>0</v>
      </c>
      <c r="AH72" s="241">
        <f>IF($E72=0,0,NSTonghop!AO72)</f>
        <v>0</v>
      </c>
      <c r="AI72" s="241">
        <f>IF($E72=0,0,NSTonghop!AP72)</f>
        <v>0</v>
      </c>
      <c r="AJ72" s="241">
        <f>IF($E72=0,0,NSTonghop!AQ72)</f>
        <v>0</v>
      </c>
      <c r="AK72" s="241">
        <f>IF($E72=0,0,NSTonghop!AT72)</f>
        <v>0</v>
      </c>
      <c r="AL72" s="212"/>
    </row>
    <row r="73" spans="1:38" s="118" customFormat="1" hidden="1" x14ac:dyDescent="0.25">
      <c r="A73" s="220"/>
      <c r="B73" s="225">
        <f>IF(E73=0,0,MAX($B$8:B72)+1)</f>
        <v>0</v>
      </c>
      <c r="C73" s="132">
        <f>IF(E73=0,0,MAX($C$67:C72)+1)</f>
        <v>0</v>
      </c>
      <c r="D73" s="128">
        <f>IF(NSTonghop!AO73="",0,NSTonghop!E73)</f>
        <v>0</v>
      </c>
      <c r="E73" s="128">
        <f>IF(NSTonghop!AO73="",0,NSTonghop!F73)</f>
        <v>0</v>
      </c>
      <c r="F73" s="123">
        <f>IF($E73=0,0,NSTonghop!G73)</f>
        <v>0</v>
      </c>
      <c r="G73" s="123">
        <f>IF($E73=0,0,NSTonghop!H73)</f>
        <v>0</v>
      </c>
      <c r="H73" s="123">
        <f>IF($E73=0,0,NSTonghop!I73)</f>
        <v>0</v>
      </c>
      <c r="I73" s="125">
        <f t="shared" ref="I73:I106" si="2">IF(G73=0,0,YEAR(G73))</f>
        <v>0</v>
      </c>
      <c r="J73" s="125">
        <f t="shared" ref="J73:J106" si="3">IF(H73=0,0,YEAR(H73))</f>
        <v>0</v>
      </c>
      <c r="K73" s="123">
        <f>IF($E73=0,0,NSTonghop!L73)</f>
        <v>0</v>
      </c>
      <c r="L73" s="123">
        <f>IF($E73=0,0,NSTonghop!M73)</f>
        <v>0</v>
      </c>
      <c r="M73" s="123">
        <f>IF($E73=0,0,NSTonghop!N73)</f>
        <v>0</v>
      </c>
      <c r="N73" s="123">
        <f>IF($E73=0,0,NSTonghop!O73)</f>
        <v>0</v>
      </c>
      <c r="O73" s="123">
        <f>IF($E73=0,0,NSTonghop!P73)</f>
        <v>0</v>
      </c>
      <c r="P73" s="123">
        <f>IF($E73=0,0,NSTonghop!Q73)</f>
        <v>0</v>
      </c>
      <c r="Q73" s="123">
        <f>IF($E73=0,0,NSTonghop!R73)</f>
        <v>0</v>
      </c>
      <c r="R73" s="123">
        <f>IF($E73=0,0,NSTonghop!S73)</f>
        <v>0</v>
      </c>
      <c r="S73" s="123">
        <f>IF($E73=0,0,NSTonghop!T73)</f>
        <v>0</v>
      </c>
      <c r="T73" s="123">
        <f>IF($E73=0,0,NSTonghop!U73)</f>
        <v>0</v>
      </c>
      <c r="U73" s="123">
        <f>IF($E73=0,0,NSTonghop!V73)</f>
        <v>0</v>
      </c>
      <c r="V73" s="123">
        <f>IF($E73=0,0,NSTonghop!W73)</f>
        <v>0</v>
      </c>
      <c r="W73" s="241">
        <f>IF($E73=0,0,NSTonghop!Z73)</f>
        <v>0</v>
      </c>
      <c r="X73" s="241">
        <f>IF($E73=0,0,NSTonghop!AA73)</f>
        <v>0</v>
      </c>
      <c r="Y73" s="241">
        <f>IF($E73=0,0,NSTonghop!AB73)</f>
        <v>0</v>
      </c>
      <c r="Z73" s="241">
        <f>IF($E73=0,0,NSTonghop!AC73)</f>
        <v>0</v>
      </c>
      <c r="AA73" s="241">
        <f>IF($E73=0,0,NSTonghop!AD73)</f>
        <v>0</v>
      </c>
      <c r="AB73" s="241">
        <f>IF($E73=0,0,NSTonghop!AE73)</f>
        <v>0</v>
      </c>
      <c r="AC73" s="241">
        <f>IF($E73=0,0,NSTonghop!AF73)</f>
        <v>0</v>
      </c>
      <c r="AD73" s="241">
        <f>IF($E73=0,0,NSTonghop!AH73)</f>
        <v>0</v>
      </c>
      <c r="AE73" s="241">
        <f>IF($E73=0,0,NSTonghop!AJ73)</f>
        <v>0</v>
      </c>
      <c r="AF73" s="241">
        <f>IF($E73=0,0,NSTonghop!AK73)</f>
        <v>0</v>
      </c>
      <c r="AG73" s="241">
        <f>IF($E73=0,0,NSTonghop!AL73)</f>
        <v>0</v>
      </c>
      <c r="AH73" s="241">
        <f>IF($E73=0,0,NSTonghop!AO73)</f>
        <v>0</v>
      </c>
      <c r="AI73" s="241">
        <f>IF($E73=0,0,NSTonghop!AP73)</f>
        <v>0</v>
      </c>
      <c r="AJ73" s="241">
        <f>IF($E73=0,0,NSTonghop!AQ73)</f>
        <v>0</v>
      </c>
      <c r="AK73" s="241">
        <f>IF($E73=0,0,NSTonghop!AT73)</f>
        <v>0</v>
      </c>
      <c r="AL73" s="212"/>
    </row>
    <row r="74" spans="1:38" s="118" customFormat="1" x14ac:dyDescent="0.25">
      <c r="A74" s="220"/>
      <c r="B74" s="128">
        <f>IF(E74=0,0,MAX($B$8:B73)+1)</f>
        <v>38</v>
      </c>
      <c r="C74" s="132">
        <f>IF(E74=0,0,MAX($C$67:C73)+1)</f>
        <v>5</v>
      </c>
      <c r="D74" s="128">
        <f>IF(NSTonghop!AO74="",0,NSTonghop!E74)</f>
        <v>0</v>
      </c>
      <c r="E74" s="128" t="str">
        <f>IF(NSTonghop!AO74="",0,NSTonghop!F74)</f>
        <v>Trịnh Thị Thanh Trúc</v>
      </c>
      <c r="F74" s="123" t="str">
        <f>IF($E74=0,0,NSTonghop!G74)</f>
        <v>x</v>
      </c>
      <c r="G74" s="123">
        <f>IF($E74=0,0,NSTonghop!H74)</f>
        <v>0</v>
      </c>
      <c r="H74" s="123" t="str">
        <f>IF($E74=0,0,NSTonghop!I74)</f>
        <v>24/07/1978</v>
      </c>
      <c r="I74" s="125">
        <f t="shared" si="2"/>
        <v>0</v>
      </c>
      <c r="J74" s="125">
        <f t="shared" si="3"/>
        <v>1978</v>
      </c>
      <c r="K74" s="123" t="str">
        <f>IF($E74=0,0,NSTonghop!L74)</f>
        <v>GV</v>
      </c>
      <c r="L74" s="123">
        <f>IF($E74=0,0,NSTonghop!M74)</f>
        <v>0</v>
      </c>
      <c r="M74" s="123" t="str">
        <f>IF($E74=0,0,NSTonghop!N74)</f>
        <v>x</v>
      </c>
      <c r="N74" s="123" t="str">
        <f>IF($E74=0,0,NSTonghop!O74)</f>
        <v>Tiểu thương</v>
      </c>
      <c r="O74" s="123" t="str">
        <f>IF($E74=0,0,NSTonghop!P74)</f>
        <v>Châu Phú B-AG</v>
      </c>
      <c r="P74" s="123" t="str">
        <f>IF($E74=0,0,NSTonghop!Q74)</f>
        <v>Châu Phú B-Châu Đốc</v>
      </c>
      <c r="Q74" s="123" t="str">
        <f>IF($E74=0,0,NSTonghop!R74)</f>
        <v>82/5 Bình Chánh-Bình Long</v>
      </c>
      <c r="R74" s="123" t="str">
        <f>IF($E74=0,0,NSTonghop!S74)</f>
        <v>PTTH/97/TB</v>
      </c>
      <c r="S74" s="123" t="str">
        <f>IF($E74=0,0,NSTonghop!T74)</f>
        <v>CĐ3/Hóa-Sinh/01/TBK</v>
      </c>
      <c r="T74" s="123" t="str">
        <f>IF($E74=0,0,NSTonghop!U74)</f>
        <v>ĐHTX/Hóa/07/Khá</v>
      </c>
      <c r="U74" s="123">
        <f>IF($E74=0,0,NSTonghop!V74)</f>
        <v>0</v>
      </c>
      <c r="V74" s="123" t="str">
        <f>IF($E74=0,0,NSTonghop!W74)</f>
        <v>ĐHTX</v>
      </c>
      <c r="W74" s="241">
        <f>IF($E74=0,0,NSTonghop!Z74)</f>
        <v>0</v>
      </c>
      <c r="X74" s="241">
        <f>IF($E74=0,0,NSTonghop!AA74)</f>
        <v>0</v>
      </c>
      <c r="Y74" s="241" t="str">
        <f>IF($E74=0,0,NSTonghop!AB74)</f>
        <v>A/05/Khá</v>
      </c>
      <c r="Z74" s="241" t="str">
        <f>IF($E74=0,0,NSTonghop!AC74)</f>
        <v>B/Anh/08/TB</v>
      </c>
      <c r="AA74" s="241">
        <f>IF($E74=0,0,NSTonghop!AD74)</f>
        <v>0</v>
      </c>
      <c r="AB74" s="241">
        <f>IF($E74=0,0,NSTonghop!AE74)</f>
        <v>0</v>
      </c>
      <c r="AC74" s="241">
        <f>IF($E74=0,0,NSTonghop!AF74)</f>
        <v>0</v>
      </c>
      <c r="AD74" s="241" t="str">
        <f>IF($E74=0,0,NSTonghop!AH74)</f>
        <v>CN/18/Khá</v>
      </c>
      <c r="AE74" s="241">
        <f>IF($E74=0,0,NSTonghop!AJ74)</f>
        <v>351174475</v>
      </c>
      <c r="AF74" s="241" t="str">
        <f>IF($E74=0,0,NSTonghop!AK74)</f>
        <v>16/06/2016</v>
      </c>
      <c r="AG74" s="241" t="str">
        <f>IF($E74=0,0,NSTonghop!AL74)</f>
        <v>01/09/2001</v>
      </c>
      <c r="AH74" s="241" t="str">
        <f>IF($E74=0,0,NSTonghop!AO74)</f>
        <v>30/12/2006</v>
      </c>
      <c r="AI74" s="241" t="str">
        <f>IF($E74=0,0,NSTonghop!AP74)</f>
        <v>31.031 684</v>
      </c>
      <c r="AJ74" s="241">
        <f>IF($E74=0,0,NSTonghop!AQ74)</f>
        <v>2006</v>
      </c>
      <c r="AK74" s="241" t="str">
        <f>IF($E74=0,0,NSTonghop!AT74)</f>
        <v>0756957121</v>
      </c>
      <c r="AL74" s="212"/>
    </row>
    <row r="75" spans="1:38" s="118" customFormat="1" hidden="1" x14ac:dyDescent="0.25">
      <c r="A75" s="220"/>
      <c r="B75" s="128">
        <f>IF(E75=0,0,MAX($B$8:B74)+1)</f>
        <v>0</v>
      </c>
      <c r="C75" s="132">
        <f>IF(E75=0,0,MAX($C$67:C74)+1)</f>
        <v>0</v>
      </c>
      <c r="D75" s="128">
        <f>IF(NSTonghop!AO75="",0,NSTonghop!E75)</f>
        <v>0</v>
      </c>
      <c r="E75" s="128">
        <f>IF(NSTonghop!AO75="",0,NSTonghop!F75)</f>
        <v>0</v>
      </c>
      <c r="F75" s="123">
        <f>IF($E75=0,0,NSTonghop!G75)</f>
        <v>0</v>
      </c>
      <c r="G75" s="123">
        <f>IF($E75=0,0,NSTonghop!H75)</f>
        <v>0</v>
      </c>
      <c r="H75" s="123">
        <f>IF($E75=0,0,NSTonghop!I75)</f>
        <v>0</v>
      </c>
      <c r="I75" s="125">
        <f t="shared" si="2"/>
        <v>0</v>
      </c>
      <c r="J75" s="125">
        <f t="shared" si="3"/>
        <v>0</v>
      </c>
      <c r="K75" s="123">
        <f>IF($E75=0,0,NSTonghop!L75)</f>
        <v>0</v>
      </c>
      <c r="L75" s="123">
        <f>IF($E75=0,0,NSTonghop!M75)</f>
        <v>0</v>
      </c>
      <c r="M75" s="123">
        <f>IF($E75=0,0,NSTonghop!N75)</f>
        <v>0</v>
      </c>
      <c r="N75" s="123">
        <f>IF($E75=0,0,NSTonghop!O75)</f>
        <v>0</v>
      </c>
      <c r="O75" s="123">
        <f>IF($E75=0,0,NSTonghop!P75)</f>
        <v>0</v>
      </c>
      <c r="P75" s="123">
        <f>IF($E75=0,0,NSTonghop!Q75)</f>
        <v>0</v>
      </c>
      <c r="Q75" s="123">
        <f>IF($E75=0,0,NSTonghop!R75)</f>
        <v>0</v>
      </c>
      <c r="R75" s="123">
        <f>IF($E75=0,0,NSTonghop!S75)</f>
        <v>0</v>
      </c>
      <c r="S75" s="123">
        <f>IF($E75=0,0,NSTonghop!T75)</f>
        <v>0</v>
      </c>
      <c r="T75" s="123">
        <f>IF($E75=0,0,NSTonghop!U75)</f>
        <v>0</v>
      </c>
      <c r="U75" s="123">
        <f>IF($E75=0,0,NSTonghop!V75)</f>
        <v>0</v>
      </c>
      <c r="V75" s="123">
        <f>IF($E75=0,0,NSTonghop!W75)</f>
        <v>0</v>
      </c>
      <c r="W75" s="241">
        <f>IF($E75=0,0,NSTonghop!Z75)</f>
        <v>0</v>
      </c>
      <c r="X75" s="241">
        <f>IF($E75=0,0,NSTonghop!AA75)</f>
        <v>0</v>
      </c>
      <c r="Y75" s="241">
        <f>IF($E75=0,0,NSTonghop!AB75)</f>
        <v>0</v>
      </c>
      <c r="Z75" s="241">
        <f>IF($E75=0,0,NSTonghop!AC75)</f>
        <v>0</v>
      </c>
      <c r="AA75" s="241">
        <f>IF($E75=0,0,NSTonghop!AD75)</f>
        <v>0</v>
      </c>
      <c r="AB75" s="241">
        <f>IF($E75=0,0,NSTonghop!AE75)</f>
        <v>0</v>
      </c>
      <c r="AC75" s="241">
        <f>IF($E75=0,0,NSTonghop!AF75)</f>
        <v>0</v>
      </c>
      <c r="AD75" s="241">
        <f>IF($E75=0,0,NSTonghop!AH75)</f>
        <v>0</v>
      </c>
      <c r="AE75" s="241">
        <f>IF($E75=0,0,NSTonghop!AJ75)</f>
        <v>0</v>
      </c>
      <c r="AF75" s="241">
        <f>IF($E75=0,0,NSTonghop!AK75)</f>
        <v>0</v>
      </c>
      <c r="AG75" s="241">
        <f>IF($E75=0,0,NSTonghop!AL75)</f>
        <v>0</v>
      </c>
      <c r="AH75" s="241">
        <f>IF($E75=0,0,NSTonghop!AO75)</f>
        <v>0</v>
      </c>
      <c r="AI75" s="241">
        <f>IF($E75=0,0,NSTonghop!AP75)</f>
        <v>0</v>
      </c>
      <c r="AJ75" s="241">
        <f>IF($E75=0,0,NSTonghop!AQ75)</f>
        <v>0</v>
      </c>
      <c r="AK75" s="241">
        <f>IF($E75=0,0,NSTonghop!AT75)</f>
        <v>0</v>
      </c>
      <c r="AL75" s="212"/>
    </row>
    <row r="76" spans="1:38" s="118" customFormat="1" hidden="1" x14ac:dyDescent="0.25">
      <c r="A76" s="220"/>
      <c r="B76" s="225">
        <f>IF(E76=0,0,MAX($B$8:B75)+1)</f>
        <v>0</v>
      </c>
      <c r="C76" s="132">
        <f>IF(E76=0,0,MAX($C$67:C75)+1)</f>
        <v>0</v>
      </c>
      <c r="D76" s="128">
        <f>IF(NSTonghop!AO76="",0,NSTonghop!E76)</f>
        <v>0</v>
      </c>
      <c r="E76" s="128">
        <f>IF(NSTonghop!AO76="",0,NSTonghop!F76)</f>
        <v>0</v>
      </c>
      <c r="F76" s="123">
        <f>IF($E76=0,0,NSTonghop!G76)</f>
        <v>0</v>
      </c>
      <c r="G76" s="123">
        <f>IF($E76=0,0,NSTonghop!H76)</f>
        <v>0</v>
      </c>
      <c r="H76" s="123">
        <f>IF($E76=0,0,NSTonghop!I76)</f>
        <v>0</v>
      </c>
      <c r="I76" s="125">
        <f t="shared" si="2"/>
        <v>0</v>
      </c>
      <c r="J76" s="125">
        <f t="shared" si="3"/>
        <v>0</v>
      </c>
      <c r="K76" s="123">
        <f>IF($E76=0,0,NSTonghop!L76)</f>
        <v>0</v>
      </c>
      <c r="L76" s="123">
        <f>IF($E76=0,0,NSTonghop!M76)</f>
        <v>0</v>
      </c>
      <c r="M76" s="123">
        <f>IF($E76=0,0,NSTonghop!N76)</f>
        <v>0</v>
      </c>
      <c r="N76" s="123">
        <f>IF($E76=0,0,NSTonghop!O76)</f>
        <v>0</v>
      </c>
      <c r="O76" s="123">
        <f>IF($E76=0,0,NSTonghop!P76)</f>
        <v>0</v>
      </c>
      <c r="P76" s="123">
        <f>IF($E76=0,0,NSTonghop!Q76)</f>
        <v>0</v>
      </c>
      <c r="Q76" s="123">
        <f>IF($E76=0,0,NSTonghop!R76)</f>
        <v>0</v>
      </c>
      <c r="R76" s="123">
        <f>IF($E76=0,0,NSTonghop!S76)</f>
        <v>0</v>
      </c>
      <c r="S76" s="123">
        <f>IF($E76=0,0,NSTonghop!T76)</f>
        <v>0</v>
      </c>
      <c r="T76" s="123">
        <f>IF($E76=0,0,NSTonghop!U76)</f>
        <v>0</v>
      </c>
      <c r="U76" s="123">
        <f>IF($E76=0,0,NSTonghop!V76)</f>
        <v>0</v>
      </c>
      <c r="V76" s="123">
        <f>IF($E76=0,0,NSTonghop!W76)</f>
        <v>0</v>
      </c>
      <c r="W76" s="241">
        <f>IF($E76=0,0,NSTonghop!Z76)</f>
        <v>0</v>
      </c>
      <c r="X76" s="241">
        <f>IF($E76=0,0,NSTonghop!AA76)</f>
        <v>0</v>
      </c>
      <c r="Y76" s="241">
        <f>IF($E76=0,0,NSTonghop!AB76)</f>
        <v>0</v>
      </c>
      <c r="Z76" s="241">
        <f>IF($E76=0,0,NSTonghop!AC76)</f>
        <v>0</v>
      </c>
      <c r="AA76" s="241">
        <f>IF($E76=0,0,NSTonghop!AD76)</f>
        <v>0</v>
      </c>
      <c r="AB76" s="241">
        <f>IF($E76=0,0,NSTonghop!AE76)</f>
        <v>0</v>
      </c>
      <c r="AC76" s="241">
        <f>IF($E76=0,0,NSTonghop!AF76)</f>
        <v>0</v>
      </c>
      <c r="AD76" s="241">
        <f>IF($E76=0,0,NSTonghop!AH76)</f>
        <v>0</v>
      </c>
      <c r="AE76" s="241">
        <f>IF($E76=0,0,NSTonghop!AJ76)</f>
        <v>0</v>
      </c>
      <c r="AF76" s="241">
        <f>IF($E76=0,0,NSTonghop!AK76)</f>
        <v>0</v>
      </c>
      <c r="AG76" s="241">
        <f>IF($E76=0,0,NSTonghop!AL76)</f>
        <v>0</v>
      </c>
      <c r="AH76" s="241">
        <f>IF($E76=0,0,NSTonghop!AO76)</f>
        <v>0</v>
      </c>
      <c r="AI76" s="241">
        <f>IF($E76=0,0,NSTonghop!AP76)</f>
        <v>0</v>
      </c>
      <c r="AJ76" s="241">
        <f>IF($E76=0,0,NSTonghop!AQ76)</f>
        <v>0</v>
      </c>
      <c r="AK76" s="241">
        <f>IF($E76=0,0,NSTonghop!AT76)</f>
        <v>0</v>
      </c>
      <c r="AL76" s="212"/>
    </row>
    <row r="77" spans="1:38" s="118" customFormat="1" x14ac:dyDescent="0.25">
      <c r="A77" s="220"/>
      <c r="B77" s="225">
        <f>IF(E77=0,0,MAX($B$8:B76)+1)</f>
        <v>39</v>
      </c>
      <c r="C77" s="132">
        <f>IF(E77=0,0,MAX($C$67:C76)+1)</f>
        <v>6</v>
      </c>
      <c r="D77" s="128">
        <f>IF(NSTonghop!AO77="",0,NSTonghop!E77)</f>
        <v>0</v>
      </c>
      <c r="E77" s="128" t="str">
        <f>IF(NSTonghop!AO77="",0,NSTonghop!F77)</f>
        <v>Nguyễn Thị Phương Mai</v>
      </c>
      <c r="F77" s="123" t="str">
        <f>IF($E77=0,0,NSTonghop!G77)</f>
        <v>x</v>
      </c>
      <c r="G77" s="123">
        <f>IF($E77=0,0,NSTonghop!H77)</f>
        <v>0</v>
      </c>
      <c r="H77" s="123" t="str">
        <f>IF($E77=0,0,NSTonghop!I77)</f>
        <v>19/05/1981</v>
      </c>
      <c r="I77" s="125">
        <f t="shared" si="2"/>
        <v>0</v>
      </c>
      <c r="J77" s="125">
        <f t="shared" si="3"/>
        <v>1981</v>
      </c>
      <c r="K77" s="123" t="str">
        <f>IF($E77=0,0,NSTonghop!L77)</f>
        <v>GV</v>
      </c>
      <c r="L77" s="123">
        <f>IF($E77=0,0,NSTonghop!M77)</f>
        <v>0</v>
      </c>
      <c r="M77" s="123" t="str">
        <f>IF($E77=0,0,NSTonghop!N77)</f>
        <v>Hòa Hảo</v>
      </c>
      <c r="N77" s="123" t="str">
        <f>IF($E77=0,0,NSTonghop!O77)</f>
        <v>Nông dân</v>
      </c>
      <c r="O77" s="123" t="str">
        <f>IF($E77=0,0,NSTonghop!P77)</f>
        <v>Cái Dầu-AG</v>
      </c>
      <c r="P77" s="123" t="str">
        <f>IF($E77=0,0,NSTonghop!Q77)</f>
        <v>Thạnh Mỹ Tây-Châu Phú</v>
      </c>
      <c r="Q77" s="123" t="str">
        <f>IF($E77=0,0,NSTonghop!R77)</f>
        <v>831/23 Vĩnh Hưng-VTT</v>
      </c>
      <c r="R77" s="123" t="str">
        <f>IF($E77=0,0,NSTonghop!S77)</f>
        <v>PTTH/99/TB</v>
      </c>
      <c r="S77" s="123" t="str">
        <f>IF($E77=0,0,NSTonghop!T77)</f>
        <v>CĐ3/Sinh-KTNN/02/TBK</v>
      </c>
      <c r="T77" s="123" t="str">
        <f>IF($E77=0,0,NSTonghop!U77)</f>
        <v>ĐHTX/Sinh/08/TBK</v>
      </c>
      <c r="U77" s="123">
        <f>IF($E77=0,0,NSTonghop!V77)</f>
        <v>0</v>
      </c>
      <c r="V77" s="123" t="str">
        <f>IF($E77=0,0,NSTonghop!W77)</f>
        <v>ĐHTX</v>
      </c>
      <c r="W77" s="241">
        <f>IF($E77=0,0,NSTonghop!Z77)</f>
        <v>0</v>
      </c>
      <c r="X77" s="241" t="str">
        <f>IF($E77=0,0,NSTonghop!AA77)</f>
        <v>SC/14</v>
      </c>
      <c r="Y77" s="241" t="str">
        <f>IF($E77=0,0,NSTonghop!AB77)</f>
        <v>A/03/Giỏi</v>
      </c>
      <c r="Z77" s="241" t="str">
        <f>IF($E77=0,0,NSTonghop!AC77)</f>
        <v>B/Anh/15/TB</v>
      </c>
      <c r="AA77" s="241">
        <f>IF($E77=0,0,NSTonghop!AD77)</f>
        <v>0</v>
      </c>
      <c r="AB77" s="241">
        <f>IF($E77=0,0,NSTonghop!AE77)</f>
        <v>0</v>
      </c>
      <c r="AC77" s="241">
        <f>IF($E77=0,0,NSTonghop!AF77)</f>
        <v>0</v>
      </c>
      <c r="AD77" s="241" t="str">
        <f>IF($E77=0,0,NSTonghop!AH77)</f>
        <v>CC/2009/Giỏi</v>
      </c>
      <c r="AE77" s="241">
        <f>IF($E77=0,0,NSTonghop!AJ77)</f>
        <v>351421420</v>
      </c>
      <c r="AF77" s="241" t="str">
        <f>IF($E77=0,0,NSTonghop!AK77)</f>
        <v>17/03/2011</v>
      </c>
      <c r="AG77" s="241" t="str">
        <f>IF($E77=0,0,NSTonghop!AL77)</f>
        <v>01/09/2003</v>
      </c>
      <c r="AH77" s="241" t="str">
        <f>IF($E77=0,0,NSTonghop!AO77)</f>
        <v>19/05/2004</v>
      </c>
      <c r="AI77" s="241" t="str">
        <f>IF($E77=0,0,NSTonghop!AP77)</f>
        <v>31.026 784</v>
      </c>
      <c r="AJ77" s="241">
        <f>IF($E77=0,0,NSTonghop!AQ77)</f>
        <v>2004</v>
      </c>
      <c r="AK77" s="241" t="str">
        <f>IF($E77=0,0,NSTonghop!AT77)</f>
        <v>"0973125128</v>
      </c>
      <c r="AL77" s="212"/>
    </row>
    <row r="78" spans="1:38" s="118" customFormat="1" x14ac:dyDescent="0.25">
      <c r="A78" s="220"/>
      <c r="B78" s="225">
        <f>IF(E78=0,0,MAX($B$8:B77)+1)</f>
        <v>40</v>
      </c>
      <c r="C78" s="132">
        <f>IF(E78=0,0,MAX($C$67:C77)+1)</f>
        <v>7</v>
      </c>
      <c r="D78" s="128">
        <f>IF(NSTonghop!AO78="",0,NSTonghop!E78)</f>
        <v>0</v>
      </c>
      <c r="E78" s="128" t="str">
        <f>IF(NSTonghop!AO78="",0,NSTonghop!F78)</f>
        <v>Đoàn Thị Ghi</v>
      </c>
      <c r="F78" s="123" t="str">
        <f>IF($E78=0,0,NSTonghop!G78)</f>
        <v>x</v>
      </c>
      <c r="G78" s="123">
        <f>IF($E78=0,0,NSTonghop!H78)</f>
        <v>0</v>
      </c>
      <c r="H78" s="123" t="str">
        <f>IF($E78=0,0,NSTonghop!I78)</f>
        <v>25/12/1981</v>
      </c>
      <c r="I78" s="125">
        <f t="shared" si="2"/>
        <v>0</v>
      </c>
      <c r="J78" s="125">
        <f t="shared" si="3"/>
        <v>1981</v>
      </c>
      <c r="K78" s="123" t="str">
        <f>IF($E78=0,0,NSTonghop!L78)</f>
        <v>GV</v>
      </c>
      <c r="L78" s="123">
        <f>IF($E78=0,0,NSTonghop!M78)</f>
        <v>0</v>
      </c>
      <c r="M78" s="123" t="str">
        <f>IF($E78=0,0,NSTonghop!N78)</f>
        <v>Hòa Hảo</v>
      </c>
      <c r="N78" s="123" t="str">
        <f>IF($E78=0,0,NSTonghop!O78)</f>
        <v>Nông dân</v>
      </c>
      <c r="O78" s="123" t="str">
        <f>IF($E78=0,0,NSTonghop!P78)</f>
        <v>Mỹ Phú-AG</v>
      </c>
      <c r="P78" s="123" t="str">
        <f>IF($E78=0,0,NSTonghop!Q78)</f>
        <v>Mỹ Phú-Châu Phú</v>
      </c>
      <c r="Q78" s="123" t="str">
        <f>IF($E78=0,0,NSTonghop!R78)</f>
        <v>819/23 Vĩnh Hưng-VTT</v>
      </c>
      <c r="R78" s="123" t="str">
        <f>IF($E78=0,0,NSTonghop!S78)</f>
        <v>PTTH/00/TB</v>
      </c>
      <c r="S78" s="123" t="str">
        <f>IF($E78=0,0,NSTonghop!T78)</f>
        <v>CĐ3/Sinh-KTNN/05/Khá</v>
      </c>
      <c r="T78" s="123" t="str">
        <f>IF($E78=0,0,NSTonghop!U78)</f>
        <v>ĐHTX/Sinh/10/TBK</v>
      </c>
      <c r="U78" s="123">
        <f>IF($E78=0,0,NSTonghop!V78)</f>
        <v>0</v>
      </c>
      <c r="V78" s="123" t="str">
        <f>IF($E78=0,0,NSTonghop!W78)</f>
        <v>ĐHTX</v>
      </c>
      <c r="W78" s="241">
        <f>IF($E78=0,0,NSTonghop!Z78)</f>
        <v>0</v>
      </c>
      <c r="X78" s="241" t="str">
        <f>IF($E78=0,0,NSTonghop!AA78)</f>
        <v>SC/18</v>
      </c>
      <c r="Y78" s="241" t="str">
        <f>IF($E78=0,0,NSTonghop!AB78)</f>
        <v>A/07/Khá</v>
      </c>
      <c r="Z78" s="241" t="str">
        <f>IF($E78=0,0,NSTonghop!AC78)</f>
        <v>A/Anh/13/Khá</v>
      </c>
      <c r="AA78" s="241">
        <f>IF($E78=0,0,NSTonghop!AD78)</f>
        <v>0</v>
      </c>
      <c r="AB78" s="241">
        <f>IF($E78=0,0,NSTonghop!AE78)</f>
        <v>0</v>
      </c>
      <c r="AC78" s="241">
        <f>IF($E78=0,0,NSTonghop!AF78)</f>
        <v>0</v>
      </c>
      <c r="AD78" s="241" t="str">
        <f>IF($E78=0,0,NSTonghop!AH78)</f>
        <v>CN/06/Khá</v>
      </c>
      <c r="AE78" s="241">
        <f>IF($E78=0,0,NSTonghop!AJ78)</f>
        <v>351421471</v>
      </c>
      <c r="AF78" s="241" t="str">
        <f>IF($E78=0,0,NSTonghop!AK78)</f>
        <v>18/03/2011</v>
      </c>
      <c r="AG78" s="241" t="str">
        <f>IF($E78=0,0,NSTonghop!AL78)</f>
        <v>01/09/2005</v>
      </c>
      <c r="AH78" s="241" t="str">
        <f>IF($E78=0,0,NSTonghop!AO78)</f>
        <v>22/01/2010</v>
      </c>
      <c r="AI78" s="241" t="str">
        <f>IF($E78=0,0,NSTonghop!AP78)</f>
        <v>31.047 721</v>
      </c>
      <c r="AJ78" s="241">
        <f>IF($E78=0,0,NSTonghop!AQ78)</f>
        <v>2010</v>
      </c>
      <c r="AK78" s="241" t="str">
        <f>IF($E78=0,0,NSTonghop!AT78)</f>
        <v>0988326346</v>
      </c>
      <c r="AL78" s="212"/>
    </row>
    <row r="79" spans="1:38" s="118" customFormat="1" hidden="1" x14ac:dyDescent="0.25">
      <c r="A79" s="220"/>
      <c r="B79" s="225">
        <f>IF(E79=0,0,MAX($B$8:B78)+1)</f>
        <v>0</v>
      </c>
      <c r="C79" s="132">
        <f>IF(E79=0,0,MAX($C$67:C78)+1)</f>
        <v>0</v>
      </c>
      <c r="D79" s="128">
        <f>IF(NSTonghop!AO79="",0,NSTonghop!E79)</f>
        <v>0</v>
      </c>
      <c r="E79" s="128">
        <f>IF(NSTonghop!AO79="",0,NSTonghop!F79)</f>
        <v>0</v>
      </c>
      <c r="F79" s="123">
        <f>IF($E79=0,0,NSTonghop!G79)</f>
        <v>0</v>
      </c>
      <c r="G79" s="123">
        <f>IF($E79=0,0,NSTonghop!H79)</f>
        <v>0</v>
      </c>
      <c r="H79" s="123">
        <f>IF($E79=0,0,NSTonghop!I79)</f>
        <v>0</v>
      </c>
      <c r="I79" s="125">
        <f t="shared" si="2"/>
        <v>0</v>
      </c>
      <c r="J79" s="125">
        <f t="shared" si="3"/>
        <v>0</v>
      </c>
      <c r="K79" s="123">
        <f>IF($E79=0,0,NSTonghop!L79)</f>
        <v>0</v>
      </c>
      <c r="L79" s="123">
        <f>IF($E79=0,0,NSTonghop!M79)</f>
        <v>0</v>
      </c>
      <c r="M79" s="123">
        <f>IF($E79=0,0,NSTonghop!N79)</f>
        <v>0</v>
      </c>
      <c r="N79" s="123">
        <f>IF($E79=0,0,NSTonghop!O79)</f>
        <v>0</v>
      </c>
      <c r="O79" s="123">
        <f>IF($E79=0,0,NSTonghop!P79)</f>
        <v>0</v>
      </c>
      <c r="P79" s="123">
        <f>IF($E79=0,0,NSTonghop!Q79)</f>
        <v>0</v>
      </c>
      <c r="Q79" s="123">
        <f>IF($E79=0,0,NSTonghop!R79)</f>
        <v>0</v>
      </c>
      <c r="R79" s="123">
        <f>IF($E79=0,0,NSTonghop!S79)</f>
        <v>0</v>
      </c>
      <c r="S79" s="123">
        <f>IF($E79=0,0,NSTonghop!T79)</f>
        <v>0</v>
      </c>
      <c r="T79" s="123">
        <f>IF($E79=0,0,NSTonghop!U79)</f>
        <v>0</v>
      </c>
      <c r="U79" s="123">
        <f>IF($E79=0,0,NSTonghop!V79)</f>
        <v>0</v>
      </c>
      <c r="V79" s="123">
        <f>IF($E79=0,0,NSTonghop!W79)</f>
        <v>0</v>
      </c>
      <c r="W79" s="241">
        <f>IF($E79=0,0,NSTonghop!Z79)</f>
        <v>0</v>
      </c>
      <c r="X79" s="241">
        <f>IF($E79=0,0,NSTonghop!AA79)</f>
        <v>0</v>
      </c>
      <c r="Y79" s="241">
        <f>IF($E79=0,0,NSTonghop!AB79)</f>
        <v>0</v>
      </c>
      <c r="Z79" s="241">
        <f>IF($E79=0,0,NSTonghop!AC79)</f>
        <v>0</v>
      </c>
      <c r="AA79" s="241">
        <f>IF($E79=0,0,NSTonghop!AD79)</f>
        <v>0</v>
      </c>
      <c r="AB79" s="241">
        <f>IF($E79=0,0,NSTonghop!AE79)</f>
        <v>0</v>
      </c>
      <c r="AC79" s="241">
        <f>IF($E79=0,0,NSTonghop!AF79)</f>
        <v>0</v>
      </c>
      <c r="AD79" s="241">
        <f>IF($E79=0,0,NSTonghop!AH79)</f>
        <v>0</v>
      </c>
      <c r="AE79" s="241">
        <f>IF($E79=0,0,NSTonghop!AJ79)</f>
        <v>0</v>
      </c>
      <c r="AF79" s="241">
        <f>IF($E79=0,0,NSTonghop!AK79)</f>
        <v>0</v>
      </c>
      <c r="AG79" s="241">
        <f>IF($E79=0,0,NSTonghop!AL79)</f>
        <v>0</v>
      </c>
      <c r="AH79" s="241">
        <f>IF($E79=0,0,NSTonghop!AO79)</f>
        <v>0</v>
      </c>
      <c r="AI79" s="241">
        <f>IF($E79=0,0,NSTonghop!AP79)</f>
        <v>0</v>
      </c>
      <c r="AJ79" s="241">
        <f>IF($E79=0,0,NSTonghop!AQ79)</f>
        <v>0</v>
      </c>
      <c r="AK79" s="241">
        <f>IF($E79=0,0,NSTonghop!AT79)</f>
        <v>0</v>
      </c>
      <c r="AL79" s="212"/>
    </row>
    <row r="80" spans="1:38" s="118" customFormat="1" x14ac:dyDescent="0.25">
      <c r="A80" s="220"/>
      <c r="B80" s="225">
        <f>IF(E80=0,0,MAX($B$8:B79)+1)</f>
        <v>41</v>
      </c>
      <c r="C80" s="132">
        <f>IF(E80=0,0,MAX($C$67:C79)+1)</f>
        <v>8</v>
      </c>
      <c r="D80" s="128">
        <f>IF(NSTonghop!AO80="",0,NSTonghop!E80)</f>
        <v>0</v>
      </c>
      <c r="E80" s="128" t="str">
        <f>IF(NSTonghop!AO80="",0,NSTonghop!F80)</f>
        <v>Nguyễn Thanh Liêm</v>
      </c>
      <c r="F80" s="123">
        <f>IF($E80=0,0,NSTonghop!G80)</f>
        <v>0</v>
      </c>
      <c r="G80" s="123" t="str">
        <f>IF($E80=0,0,NSTonghop!H80)</f>
        <v>28/11/1983</v>
      </c>
      <c r="H80" s="123">
        <f>IF($E80=0,0,NSTonghop!I80)</f>
        <v>0</v>
      </c>
      <c r="I80" s="125">
        <f t="shared" si="2"/>
        <v>1983</v>
      </c>
      <c r="J80" s="125">
        <f t="shared" si="3"/>
        <v>0</v>
      </c>
      <c r="K80" s="123" t="str">
        <f>IF($E80=0,0,NSTonghop!L80)</f>
        <v>GV</v>
      </c>
      <c r="L80" s="123">
        <f>IF($E80=0,0,NSTonghop!M80)</f>
        <v>0</v>
      </c>
      <c r="M80" s="123" t="str">
        <f>IF($E80=0,0,NSTonghop!N80)</f>
        <v>Hòa Hảo</v>
      </c>
      <c r="N80" s="123" t="str">
        <f>IF($E80=0,0,NSTonghop!O80)</f>
        <v>Nông dân</v>
      </c>
      <c r="O80" s="123" t="str">
        <f>IF($E80=0,0,NSTonghop!P80)</f>
        <v>Bình Long-An Giang</v>
      </c>
      <c r="P80" s="123" t="str">
        <f>IF($E80=0,0,NSTonghop!Q80)</f>
        <v>Bình Long-Châu Phú</v>
      </c>
      <c r="Q80" s="123" t="str">
        <f>IF($E80=0,0,NSTonghop!R80)</f>
        <v>210/11Chánh Hưng-Bình Long</v>
      </c>
      <c r="R80" s="123" t="str">
        <f>IF($E80=0,0,NSTonghop!S80)</f>
        <v>PTTH/01/Khá</v>
      </c>
      <c r="S80" s="123" t="str">
        <f>IF($E80=0,0,NSTonghop!T80)</f>
        <v>CĐ3/Lý-KTCN/07/TBK</v>
      </c>
      <c r="T80" s="123" t="str">
        <f>IF($E80=0,0,NSTonghop!U80)</f>
        <v>ĐHTX/Lý/11/TBK</v>
      </c>
      <c r="U80" s="123">
        <f>IF($E80=0,0,NSTonghop!V80)</f>
        <v>0</v>
      </c>
      <c r="V80" s="123" t="str">
        <f>IF($E80=0,0,NSTonghop!W80)</f>
        <v>ĐHTX</v>
      </c>
      <c r="W80" s="241">
        <f>IF($E80=0,0,NSTonghop!Z80)</f>
        <v>0</v>
      </c>
      <c r="X80" s="241" t="str">
        <f>IF($E80=0,0,NSTonghop!AA80)</f>
        <v>SC/16</v>
      </c>
      <c r="Y80" s="241" t="str">
        <f>IF($E80=0,0,NSTonghop!AB80)</f>
        <v>A/07/Khá</v>
      </c>
      <c r="Z80" s="241">
        <f>IF($E80=0,0,NSTonghop!AC80)</f>
        <v>0</v>
      </c>
      <c r="AA80" s="241">
        <f>IF($E80=0,0,NSTonghop!AD80)</f>
        <v>0</v>
      </c>
      <c r="AB80" s="241">
        <f>IF($E80=0,0,NSTonghop!AE80)</f>
        <v>0</v>
      </c>
      <c r="AC80" s="241">
        <f>IF($E80=0,0,NSTonghop!AF80)</f>
        <v>0</v>
      </c>
      <c r="AD80" s="241" t="str">
        <f>IF($E80=0,0,NSTonghop!AH80)</f>
        <v>CN/12/TB</v>
      </c>
      <c r="AE80" s="241">
        <f>IF($E80=0,0,NSTonghop!AJ80)</f>
        <v>351467450</v>
      </c>
      <c r="AF80" s="241" t="str">
        <f>IF($E80=0,0,NSTonghop!AK80)</f>
        <v>10/07/2012</v>
      </c>
      <c r="AG80" s="241" t="str">
        <f>IF($E80=0,0,NSTonghop!AL80)</f>
        <v>01/09/2007</v>
      </c>
      <c r="AH80" s="241" t="str">
        <f>IF($E80=0,0,NSTonghop!AO80)</f>
        <v>29/04/2010</v>
      </c>
      <c r="AI80" s="241">
        <f>IF($E80=0,0,NSTonghop!AP80)</f>
        <v>31042164</v>
      </c>
      <c r="AJ80" s="241">
        <f>IF($E80=0,0,NSTonghop!AQ80)</f>
        <v>2010</v>
      </c>
      <c r="AK80" s="241" t="str">
        <f>IF($E80=0,0,NSTonghop!AT80)</f>
        <v>0939815603</v>
      </c>
      <c r="AL80" s="212"/>
    </row>
    <row r="81" spans="1:38" s="118" customFormat="1" hidden="1" x14ac:dyDescent="0.25">
      <c r="A81" s="220"/>
      <c r="B81" s="225">
        <f>IF(E81=0,0,MAX($B$8:B80)+1)</f>
        <v>0</v>
      </c>
      <c r="C81" s="132">
        <f>IF(E81=0,0,MAX($C$67:C80)+1)</f>
        <v>0</v>
      </c>
      <c r="D81" s="128">
        <f>IF(NSTonghop!AO81="",0,NSTonghop!E81)</f>
        <v>0</v>
      </c>
      <c r="E81" s="128">
        <f>IF(NSTonghop!AO81="",0,NSTonghop!F81)</f>
        <v>0</v>
      </c>
      <c r="F81" s="123">
        <f>IF($E81=0,0,NSTonghop!G81)</f>
        <v>0</v>
      </c>
      <c r="G81" s="123">
        <f>IF($E81=0,0,NSTonghop!H81)</f>
        <v>0</v>
      </c>
      <c r="H81" s="123">
        <f>IF($E81=0,0,NSTonghop!I81)</f>
        <v>0</v>
      </c>
      <c r="I81" s="125">
        <f t="shared" si="2"/>
        <v>0</v>
      </c>
      <c r="J81" s="125">
        <f t="shared" si="3"/>
        <v>0</v>
      </c>
      <c r="K81" s="123">
        <f>IF($E81=0,0,NSTonghop!L81)</f>
        <v>0</v>
      </c>
      <c r="L81" s="123">
        <f>IF($E81=0,0,NSTonghop!M81)</f>
        <v>0</v>
      </c>
      <c r="M81" s="123">
        <f>IF($E81=0,0,NSTonghop!N81)</f>
        <v>0</v>
      </c>
      <c r="N81" s="123">
        <f>IF($E81=0,0,NSTonghop!O81)</f>
        <v>0</v>
      </c>
      <c r="O81" s="123">
        <f>IF($E81=0,0,NSTonghop!P81)</f>
        <v>0</v>
      </c>
      <c r="P81" s="123">
        <f>IF($E81=0,0,NSTonghop!Q81)</f>
        <v>0</v>
      </c>
      <c r="Q81" s="123">
        <f>IF($E81=0,0,NSTonghop!R81)</f>
        <v>0</v>
      </c>
      <c r="R81" s="123">
        <f>IF($E81=0,0,NSTonghop!S81)</f>
        <v>0</v>
      </c>
      <c r="S81" s="123">
        <f>IF($E81=0,0,NSTonghop!T81)</f>
        <v>0</v>
      </c>
      <c r="T81" s="123">
        <f>IF($E81=0,0,NSTonghop!U81)</f>
        <v>0</v>
      </c>
      <c r="U81" s="123">
        <f>IF($E81=0,0,NSTonghop!V81)</f>
        <v>0</v>
      </c>
      <c r="V81" s="123">
        <f>IF($E81=0,0,NSTonghop!W81)</f>
        <v>0</v>
      </c>
      <c r="W81" s="241">
        <f>IF($E81=0,0,NSTonghop!Z81)</f>
        <v>0</v>
      </c>
      <c r="X81" s="241">
        <f>IF($E81=0,0,NSTonghop!AA81)</f>
        <v>0</v>
      </c>
      <c r="Y81" s="241">
        <f>IF($E81=0,0,NSTonghop!AB81)</f>
        <v>0</v>
      </c>
      <c r="Z81" s="241">
        <f>IF($E81=0,0,NSTonghop!AC81)</f>
        <v>0</v>
      </c>
      <c r="AA81" s="241">
        <f>IF($E81=0,0,NSTonghop!AD81)</f>
        <v>0</v>
      </c>
      <c r="AB81" s="241">
        <f>IF($E81=0,0,NSTonghop!AE81)</f>
        <v>0</v>
      </c>
      <c r="AC81" s="241">
        <f>IF($E81=0,0,NSTonghop!AF81)</f>
        <v>0</v>
      </c>
      <c r="AD81" s="241">
        <f>IF($E81=0,0,NSTonghop!AH81)</f>
        <v>0</v>
      </c>
      <c r="AE81" s="241">
        <f>IF($E81=0,0,NSTonghop!AJ81)</f>
        <v>0</v>
      </c>
      <c r="AF81" s="241">
        <f>IF($E81=0,0,NSTonghop!AK81)</f>
        <v>0</v>
      </c>
      <c r="AG81" s="241">
        <f>IF($E81=0,0,NSTonghop!AL81)</f>
        <v>0</v>
      </c>
      <c r="AH81" s="241">
        <f>IF($E81=0,0,NSTonghop!AO81)</f>
        <v>0</v>
      </c>
      <c r="AI81" s="241">
        <f>IF($E81=0,0,NSTonghop!AP81)</f>
        <v>0</v>
      </c>
      <c r="AJ81" s="241">
        <f>IF($E81=0,0,NSTonghop!AQ81)</f>
        <v>0</v>
      </c>
      <c r="AK81" s="241">
        <f>IF($E81=0,0,NSTonghop!AT81)</f>
        <v>0</v>
      </c>
      <c r="AL81" s="212"/>
    </row>
    <row r="82" spans="1:38" s="118" customFormat="1" x14ac:dyDescent="0.25">
      <c r="A82" s="220"/>
      <c r="B82" s="128">
        <f>IF(E82=0,0,MAX($B$8:B81)+1)</f>
        <v>42</v>
      </c>
      <c r="C82" s="132">
        <f>IF(E82=0,0,MAX($C$67:C81)+1)</f>
        <v>9</v>
      </c>
      <c r="D82" s="128" t="str">
        <f>IF(NSTonghop!AO82="",0,NSTonghop!E82)</f>
        <v>Nghỉ hưu 7/19</v>
      </c>
      <c r="E82" s="128" t="str">
        <f>IF(NSTonghop!AO82="",0,NSTonghop!F82)</f>
        <v>Trương Thị Thiền</v>
      </c>
      <c r="F82" s="123" t="str">
        <f>IF($E82=0,0,NSTonghop!G82)</f>
        <v>x</v>
      </c>
      <c r="G82" s="123">
        <f>IF($E82=0,0,NSTonghop!H82)</f>
        <v>0</v>
      </c>
      <c r="H82" s="123" t="str">
        <f>IF($E82=0,0,NSTonghop!I82)</f>
        <v>12/06/1964</v>
      </c>
      <c r="I82" s="125">
        <f t="shared" si="2"/>
        <v>0</v>
      </c>
      <c r="J82" s="125">
        <f t="shared" si="3"/>
        <v>1964</v>
      </c>
      <c r="K82" s="123" t="str">
        <f>IF($E82=0,0,NSTonghop!L82)</f>
        <v>GV</v>
      </c>
      <c r="L82" s="123">
        <f>IF($E82=0,0,NSTonghop!M82)</f>
        <v>0</v>
      </c>
      <c r="M82" s="123" t="str">
        <f>IF($E82=0,0,NSTonghop!N82)</f>
        <v>Phật</v>
      </c>
      <c r="N82" s="123" t="str">
        <f>IF($E82=0,0,NSTonghop!O82)</f>
        <v>Bần nông</v>
      </c>
      <c r="O82" s="123" t="str">
        <f>IF($E82=0,0,NSTonghop!P82)</f>
        <v>Mỹ Đức-An Giang</v>
      </c>
      <c r="P82" s="123" t="str">
        <f>IF($E82=0,0,NSTonghop!Q82)</f>
        <v>Mỹ Đức-Châu Phú</v>
      </c>
      <c r="Q82" s="123" t="str">
        <f>IF($E82=0,0,NSTonghop!R82)</f>
        <v>18 Vĩnh Tiến-Cái Dầu</v>
      </c>
      <c r="R82" s="123" t="str">
        <f>IF($E82=0,0,NSTonghop!S82)</f>
        <v>PTTH/82/TB</v>
      </c>
      <c r="S82" s="123" t="str">
        <f>IF($E82=0,0,NSTonghop!T82)</f>
        <v>CĐ2/Hóa-Sinh/84/TB</v>
      </c>
      <c r="T82" s="123" t="str">
        <f>IF($E82=0,0,NSTonghop!U82)</f>
        <v>CĐ3/Sinh/96/TB</v>
      </c>
      <c r="U82" s="123" t="str">
        <f>IF($E82=0,0,NSTonghop!V82)</f>
        <v>ĐHTX/Sinh/03/Khá</v>
      </c>
      <c r="V82" s="123" t="str">
        <f>IF($E82=0,0,NSTonghop!W82)</f>
        <v>ĐHTX</v>
      </c>
      <c r="W82" s="241">
        <f>IF($E82=0,0,NSTonghop!Z82)</f>
        <v>0</v>
      </c>
      <c r="X82" s="241" t="str">
        <f>IF($E82=0,0,NSTonghop!AA82)</f>
        <v>TC/05/TB</v>
      </c>
      <c r="Y82" s="241" t="str">
        <f>IF($E82=0,0,NSTonghop!AB82)</f>
        <v>A/08/Giỏi</v>
      </c>
      <c r="Z82" s="241">
        <f>IF($E82=0,0,NSTonghop!AC82)</f>
        <v>0</v>
      </c>
      <c r="AA82" s="241">
        <f>IF($E82=0,0,NSTonghop!AD82)</f>
        <v>0</v>
      </c>
      <c r="AB82" s="241">
        <f>IF($E82=0,0,NSTonghop!AE82)</f>
        <v>0</v>
      </c>
      <c r="AC82" s="241">
        <f>IF($E82=0,0,NSTonghop!AF82)</f>
        <v>0</v>
      </c>
      <c r="AD82" s="241" t="str">
        <f>IF($E82=0,0,NSTonghop!AH82)</f>
        <v>CN/10/Giỏi</v>
      </c>
      <c r="AE82" s="241">
        <f>IF($E82=0,0,NSTonghop!AJ82)</f>
        <v>350540854</v>
      </c>
      <c r="AF82" s="241" t="str">
        <f>IF($E82=0,0,NSTonghop!AK82)</f>
        <v>21/08/2015</v>
      </c>
      <c r="AG82" s="241" t="str">
        <f>IF($E82=0,0,NSTonghop!AL82)</f>
        <v>17/09/1984</v>
      </c>
      <c r="AH82" s="241" t="str">
        <f>IF($E82=0,0,NSTonghop!AO82)</f>
        <v>20/10/2001</v>
      </c>
      <c r="AI82" s="241" t="str">
        <f>IF($E82=0,0,NSTonghop!AP82)</f>
        <v>31.020 544</v>
      </c>
      <c r="AJ82" s="241">
        <f>IF($E82=0,0,NSTonghop!AQ82)</f>
        <v>2001</v>
      </c>
      <c r="AK82" s="241">
        <f>IF($E82=0,0,NSTonghop!AT82)</f>
        <v>0</v>
      </c>
      <c r="AL82" s="212"/>
    </row>
    <row r="83" spans="1:38" s="118" customFormat="1" x14ac:dyDescent="0.25">
      <c r="A83" s="220"/>
      <c r="B83" s="142">
        <f>IF(E83=0,0,MAX($B$8:B82)+1)</f>
        <v>43</v>
      </c>
      <c r="C83" s="143">
        <f>IF(E83=0,0,MAX($C$67:C82)+1)</f>
        <v>10</v>
      </c>
      <c r="D83" s="142" t="str">
        <f>IF(NSTonghop!AO83="",0,NSTonghop!E83)</f>
        <v>Nghỉ hưu 7/17</v>
      </c>
      <c r="E83" s="142" t="str">
        <f>IF(NSTonghop!AO83="",0,NSTonghop!F83)</f>
        <v>Ngô Thị Quý</v>
      </c>
      <c r="F83" s="145" t="str">
        <f>IF($E83=0,0,NSTonghop!G83)</f>
        <v>x</v>
      </c>
      <c r="G83" s="145">
        <f>IF($E83=0,0,NSTonghop!H83)</f>
        <v>0</v>
      </c>
      <c r="H83" s="145" t="str">
        <f>IF($E83=0,0,NSTonghop!I83)</f>
        <v>12/06/1962</v>
      </c>
      <c r="I83" s="147">
        <f t="shared" si="2"/>
        <v>0</v>
      </c>
      <c r="J83" s="147">
        <f t="shared" si="3"/>
        <v>1962</v>
      </c>
      <c r="K83" s="145" t="str">
        <f>IF($E83=0,0,NSTonghop!L83)</f>
        <v>GV</v>
      </c>
      <c r="L83" s="145">
        <f>IF($E83=0,0,NSTonghop!M83)</f>
        <v>0</v>
      </c>
      <c r="M83" s="145" t="str">
        <f>IF($E83=0,0,NSTonghop!N83)</f>
        <v>x</v>
      </c>
      <c r="N83" s="145" t="str">
        <f>IF($E83=0,0,NSTonghop!O83)</f>
        <v>Nông dân</v>
      </c>
      <c r="O83" s="145" t="str">
        <f>IF($E83=0,0,NSTonghop!P83)</f>
        <v>Hưng Thông-Nghệ An</v>
      </c>
      <c r="P83" s="145" t="str">
        <f>IF($E83=0,0,NSTonghop!Q83)</f>
        <v>Hưng Thông-Hưng Nguyên-Nghệ An</v>
      </c>
      <c r="Q83" s="145" t="str">
        <f>IF($E83=0,0,NSTonghop!R83)</f>
        <v>3/7 Viĩnh Thuận-VTT</v>
      </c>
      <c r="R83" s="145" t="str">
        <f>IF($E83=0,0,NSTonghop!S83)</f>
        <v>BTTH/81/-</v>
      </c>
      <c r="S83" s="145" t="str">
        <f>IF($E83=0,0,NSTonghop!T83)</f>
        <v>CĐ3/Lý-KTCN/84/TB</v>
      </c>
      <c r="T83" s="145" t="str">
        <f>IF($E83=0,0,NSTonghop!U83)</f>
        <v>ĐHTX/Lý/04/TBK</v>
      </c>
      <c r="U83" s="145">
        <f>IF($E83=0,0,NSTonghop!V83)</f>
        <v>0</v>
      </c>
      <c r="V83" s="145" t="str">
        <f>IF($E83=0,0,NSTonghop!W83)</f>
        <v>ĐHTX</v>
      </c>
      <c r="W83" s="242">
        <f>IF($E83=0,0,NSTonghop!Z83)</f>
        <v>0</v>
      </c>
      <c r="X83" s="242">
        <f>IF($E83=0,0,NSTonghop!AA83)</f>
        <v>0</v>
      </c>
      <c r="Y83" s="242" t="str">
        <f>IF($E83=0,0,NSTonghop!AB83)</f>
        <v>A/08/Khá</v>
      </c>
      <c r="Z83" s="242">
        <f>IF($E83=0,0,NSTonghop!AC83)</f>
        <v>0</v>
      </c>
      <c r="AA83" s="242">
        <f>IF($E83=0,0,NSTonghop!AD83)</f>
        <v>0</v>
      </c>
      <c r="AB83" s="242">
        <f>IF($E83=0,0,NSTonghop!AE83)</f>
        <v>0</v>
      </c>
      <c r="AC83" s="242">
        <f>IF($E83=0,0,NSTonghop!AF83)</f>
        <v>0</v>
      </c>
      <c r="AD83" s="242">
        <f>IF($E83=0,0,NSTonghop!AH83)</f>
        <v>0</v>
      </c>
      <c r="AE83" s="242">
        <f>IF($E83=0,0,NSTonghop!AJ83)</f>
        <v>350585690</v>
      </c>
      <c r="AF83" s="242" t="str">
        <f>IF($E83=0,0,NSTonghop!AK83)</f>
        <v>14/8/2001</v>
      </c>
      <c r="AG83" s="242">
        <f>IF($E83=0,0,NSTonghop!AL83)</f>
        <v>30942</v>
      </c>
      <c r="AH83" s="242" t="str">
        <f>IF($E83=0,0,NSTonghop!AO83)</f>
        <v>24/07/2007</v>
      </c>
      <c r="AI83" s="242">
        <f>IF($E83=0,0,NSTonghop!AP83)</f>
        <v>0</v>
      </c>
      <c r="AJ83" s="242">
        <f>IF($E83=0,0,NSTonghop!AQ83)</f>
        <v>2007</v>
      </c>
      <c r="AK83" s="242">
        <f>IF($E83=0,0,NSTonghop!AT83)</f>
        <v>0</v>
      </c>
      <c r="AL83" s="212"/>
    </row>
    <row r="84" spans="1:38" hidden="1" x14ac:dyDescent="0.25">
      <c r="A84" s="220"/>
      <c r="B84" s="151">
        <f>IF(E84=0,0,MAX($B$8:B83)+1)</f>
        <v>0</v>
      </c>
      <c r="C84" s="152">
        <f>IF(E84=0,0,1)</f>
        <v>0</v>
      </c>
      <c r="D84" s="151">
        <f>IF(NSTonghop!AO84="",0,NSTonghop!E84)</f>
        <v>0</v>
      </c>
      <c r="E84" s="151">
        <f>IF(NSTonghop!AO84="",0,NSTonghop!F84)</f>
        <v>0</v>
      </c>
      <c r="F84" s="123">
        <f>IF($E84=0,0,NSTonghop!G84)</f>
        <v>0</v>
      </c>
      <c r="G84" s="123">
        <f>IF($E84=0,0,NSTonghop!H84)</f>
        <v>0</v>
      </c>
      <c r="H84" s="123">
        <f>IF($E84=0,0,NSTonghop!I84)</f>
        <v>0</v>
      </c>
      <c r="I84" s="185">
        <f t="shared" si="2"/>
        <v>0</v>
      </c>
      <c r="J84" s="185">
        <f t="shared" si="3"/>
        <v>0</v>
      </c>
      <c r="K84" s="123">
        <f>IF($E84=0,0,NSTonghop!L84)</f>
        <v>0</v>
      </c>
      <c r="L84" s="123">
        <f>IF($E84=0,0,NSTonghop!M84)</f>
        <v>0</v>
      </c>
      <c r="M84" s="123">
        <f>IF($E84=0,0,NSTonghop!N84)</f>
        <v>0</v>
      </c>
      <c r="N84" s="123">
        <f>IF($E84=0,0,NSTonghop!O84)</f>
        <v>0</v>
      </c>
      <c r="O84" s="123">
        <f>IF($E84=0,0,NSTonghop!P84)</f>
        <v>0</v>
      </c>
      <c r="P84" s="123">
        <f>IF($E84=0,0,NSTonghop!Q84)</f>
        <v>0</v>
      </c>
      <c r="Q84" s="123">
        <f>IF($E84=0,0,NSTonghop!R84)</f>
        <v>0</v>
      </c>
      <c r="R84" s="123">
        <f>IF($E84=0,0,NSTonghop!S84)</f>
        <v>0</v>
      </c>
      <c r="S84" s="123">
        <f>IF($E84=0,0,NSTonghop!T84)</f>
        <v>0</v>
      </c>
      <c r="T84" s="123">
        <f>IF($E84=0,0,NSTonghop!U84)</f>
        <v>0</v>
      </c>
      <c r="U84" s="123">
        <f>IF($E84=0,0,NSTonghop!V84)</f>
        <v>0</v>
      </c>
      <c r="V84" s="123">
        <f>IF($E84=0,0,NSTonghop!W84)</f>
        <v>0</v>
      </c>
      <c r="W84" s="241">
        <f>IF($E84=0,0,NSTonghop!Z84)</f>
        <v>0</v>
      </c>
      <c r="X84" s="241">
        <f>IF($E84=0,0,NSTonghop!AA84)</f>
        <v>0</v>
      </c>
      <c r="Y84" s="241">
        <f>IF($E84=0,0,NSTonghop!AB84)</f>
        <v>0</v>
      </c>
      <c r="Z84" s="241">
        <f>IF($E84=0,0,NSTonghop!AC84)</f>
        <v>0</v>
      </c>
      <c r="AA84" s="241">
        <f>IF($E84=0,0,NSTonghop!AD84)</f>
        <v>0</v>
      </c>
      <c r="AB84" s="241">
        <f>IF($E84=0,0,NSTonghop!AE84)</f>
        <v>0</v>
      </c>
      <c r="AC84" s="241">
        <f>IF($E84=0,0,NSTonghop!AF84)</f>
        <v>0</v>
      </c>
      <c r="AD84" s="241">
        <f>IF($E84=0,0,NSTonghop!AH84)</f>
        <v>0</v>
      </c>
      <c r="AE84" s="241">
        <f>IF($E84=0,0,NSTonghop!AJ84)</f>
        <v>0</v>
      </c>
      <c r="AF84" s="241">
        <f>IF($E84=0,0,NSTonghop!AK84)</f>
        <v>0</v>
      </c>
      <c r="AG84" s="241">
        <f>IF($E84=0,0,NSTonghop!AL84)</f>
        <v>0</v>
      </c>
      <c r="AH84" s="241">
        <f>IF($E84=0,0,NSTonghop!AO84)</f>
        <v>0</v>
      </c>
      <c r="AI84" s="241">
        <f>IF($E84=0,0,NSTonghop!AP84)</f>
        <v>0</v>
      </c>
      <c r="AJ84" s="241">
        <f>IF($E84=0,0,NSTonghop!AQ84)</f>
        <v>0</v>
      </c>
      <c r="AK84" s="241">
        <f>IF($E84=0,0,NSTonghop!AT84)</f>
        <v>0</v>
      </c>
      <c r="AL84" s="212"/>
    </row>
    <row r="85" spans="1:38" hidden="1" x14ac:dyDescent="0.25">
      <c r="A85" s="220"/>
      <c r="B85" s="162">
        <f>IF(E85=0,0,MAX($B$8:B84)+1)</f>
        <v>0</v>
      </c>
      <c r="C85" s="163">
        <f>IF(E85=0,0,MAX($C$84:C84)+1)</f>
        <v>0</v>
      </c>
      <c r="D85" s="162">
        <f>IF(NSTonghop!AO85="",0,NSTonghop!E85)</f>
        <v>0</v>
      </c>
      <c r="E85" s="162">
        <f>IF(NSTonghop!AO85="",0,NSTonghop!F85)</f>
        <v>0</v>
      </c>
      <c r="F85" s="123">
        <f>IF($E85=0,0,NSTonghop!G85)</f>
        <v>0</v>
      </c>
      <c r="G85" s="123">
        <f>IF($E85=0,0,NSTonghop!H85)</f>
        <v>0</v>
      </c>
      <c r="H85" s="123">
        <f>IF($E85=0,0,NSTonghop!I85)</f>
        <v>0</v>
      </c>
      <c r="I85" s="125">
        <f t="shared" si="2"/>
        <v>0</v>
      </c>
      <c r="J85" s="125">
        <f t="shared" si="3"/>
        <v>0</v>
      </c>
      <c r="K85" s="123">
        <f>IF($E85=0,0,NSTonghop!L85)</f>
        <v>0</v>
      </c>
      <c r="L85" s="123">
        <f>IF($E85=0,0,NSTonghop!M85)</f>
        <v>0</v>
      </c>
      <c r="M85" s="123">
        <f>IF($E85=0,0,NSTonghop!N85)</f>
        <v>0</v>
      </c>
      <c r="N85" s="123">
        <f>IF($E85=0,0,NSTonghop!O85)</f>
        <v>0</v>
      </c>
      <c r="O85" s="123">
        <f>IF($E85=0,0,NSTonghop!P85)</f>
        <v>0</v>
      </c>
      <c r="P85" s="123">
        <f>IF($E85=0,0,NSTonghop!Q85)</f>
        <v>0</v>
      </c>
      <c r="Q85" s="123">
        <f>IF($E85=0,0,NSTonghop!R85)</f>
        <v>0</v>
      </c>
      <c r="R85" s="123">
        <f>IF($E85=0,0,NSTonghop!S85)</f>
        <v>0</v>
      </c>
      <c r="S85" s="123">
        <f>IF($E85=0,0,NSTonghop!T85)</f>
        <v>0</v>
      </c>
      <c r="T85" s="123">
        <f>IF($E85=0,0,NSTonghop!U85)</f>
        <v>0</v>
      </c>
      <c r="U85" s="123">
        <f>IF($E85=0,0,NSTonghop!V85)</f>
        <v>0</v>
      </c>
      <c r="V85" s="123">
        <f>IF($E85=0,0,NSTonghop!W85)</f>
        <v>0</v>
      </c>
      <c r="W85" s="241">
        <f>IF($E85=0,0,NSTonghop!Z85)</f>
        <v>0</v>
      </c>
      <c r="X85" s="241">
        <f>IF($E85=0,0,NSTonghop!AA85)</f>
        <v>0</v>
      </c>
      <c r="Y85" s="241">
        <f>IF($E85=0,0,NSTonghop!AB85)</f>
        <v>0</v>
      </c>
      <c r="Z85" s="241">
        <f>IF($E85=0,0,NSTonghop!AC85)</f>
        <v>0</v>
      </c>
      <c r="AA85" s="241">
        <f>IF($E85=0,0,NSTonghop!AD85)</f>
        <v>0</v>
      </c>
      <c r="AB85" s="241">
        <f>IF($E85=0,0,NSTonghop!AE85)</f>
        <v>0</v>
      </c>
      <c r="AC85" s="241">
        <f>IF($E85=0,0,NSTonghop!AF85)</f>
        <v>0</v>
      </c>
      <c r="AD85" s="241">
        <f>IF($E85=0,0,NSTonghop!AH85)</f>
        <v>0</v>
      </c>
      <c r="AE85" s="241">
        <f>IF($E85=0,0,NSTonghop!AJ85)</f>
        <v>0</v>
      </c>
      <c r="AF85" s="241">
        <f>IF($E85=0,0,NSTonghop!AK85)</f>
        <v>0</v>
      </c>
      <c r="AG85" s="241">
        <f>IF($E85=0,0,NSTonghop!AL85)</f>
        <v>0</v>
      </c>
      <c r="AH85" s="241">
        <f>IF($E85=0,0,NSTonghop!AO85)</f>
        <v>0</v>
      </c>
      <c r="AI85" s="241">
        <f>IF($E85=0,0,NSTonghop!AP85)</f>
        <v>0</v>
      </c>
      <c r="AJ85" s="241">
        <f>IF($E85=0,0,NSTonghop!AQ85)</f>
        <v>0</v>
      </c>
      <c r="AK85" s="241">
        <f>IF($E85=0,0,NSTonghop!AT85)</f>
        <v>0</v>
      </c>
      <c r="AL85" s="212"/>
    </row>
    <row r="86" spans="1:38" x14ac:dyDescent="0.25">
      <c r="A86" s="220"/>
      <c r="B86" s="162">
        <f>IF(E86=0,0,MAX($B$8:B85)+1)</f>
        <v>44</v>
      </c>
      <c r="C86" s="163">
        <f>IF(E86=0,0,MAX($C$84:C85)+1)</f>
        <v>1</v>
      </c>
      <c r="D86" s="162">
        <f>IF(NSTonghop!AO86="",0,NSTonghop!E86)</f>
        <v>0</v>
      </c>
      <c r="E86" s="162" t="str">
        <f>IF(NSTonghop!AO86="",0,NSTonghop!F86)</f>
        <v>Võ Thanh Cần</v>
      </c>
      <c r="F86" s="123">
        <f>IF($E86=0,0,NSTonghop!G86)</f>
        <v>0</v>
      </c>
      <c r="G86" s="123" t="str">
        <f>IF($E86=0,0,NSTonghop!H86)</f>
        <v>19/10/1981</v>
      </c>
      <c r="H86" s="123">
        <f>IF($E86=0,0,NSTonghop!I86)</f>
        <v>0</v>
      </c>
      <c r="I86" s="125">
        <f t="shared" si="2"/>
        <v>1981</v>
      </c>
      <c r="J86" s="125">
        <f t="shared" si="3"/>
        <v>0</v>
      </c>
      <c r="K86" s="123" t="str">
        <f>IF($E86=0,0,NSTonghop!L86)</f>
        <v>GV</v>
      </c>
      <c r="L86" s="123">
        <f>IF($E86=0,0,NSTonghop!M86)</f>
        <v>0</v>
      </c>
      <c r="M86" s="123" t="str">
        <f>IF($E86=0,0,NSTonghop!N86)</f>
        <v>Hiếu Nghĩa</v>
      </c>
      <c r="N86" s="123" t="str">
        <f>IF($E86=0,0,NSTonghop!O86)</f>
        <v>Nông dân</v>
      </c>
      <c r="O86" s="123" t="str">
        <f>IF($E86=0,0,NSTonghop!P86)</f>
        <v>Vĩnh Thạnh Trung-AG</v>
      </c>
      <c r="P86" s="123" t="str">
        <f>IF($E86=0,0,NSTonghop!Q86)</f>
        <v>Vĩnh Thạnh Trung-Châu Phú</v>
      </c>
      <c r="Q86" s="123" t="str">
        <f>IF($E86=0,0,NSTonghop!R86)</f>
        <v>Vĩnh Quới-VTT</v>
      </c>
      <c r="R86" s="123" t="str">
        <f>IF($E86=0,0,NSTonghop!S86)</f>
        <v>PTTH/99/TB</v>
      </c>
      <c r="S86" s="123" t="str">
        <f>IF($E86=0,0,NSTonghop!T86)</f>
        <v>CĐ3/TD/04/TB</v>
      </c>
      <c r="T86" s="123" t="str">
        <f>IF($E86=0,0,NSTonghop!U86)</f>
        <v>ĐHCT/TD/08/Khá</v>
      </c>
      <c r="U86" s="123">
        <f>IF($E86=0,0,NSTonghop!V86)</f>
        <v>0</v>
      </c>
      <c r="V86" s="123" t="str">
        <f>IF($E86=0,0,NSTonghop!W86)</f>
        <v>ĐHCT</v>
      </c>
      <c r="W86" s="241">
        <f>IF($E86=0,0,NSTonghop!Z86)</f>
        <v>0</v>
      </c>
      <c r="X86" s="241">
        <f>IF($E86=0,0,NSTonghop!AA86)</f>
        <v>0</v>
      </c>
      <c r="Y86" s="241" t="str">
        <f>IF($E86=0,0,NSTonghop!AB86)</f>
        <v>A/08/Khá</v>
      </c>
      <c r="Z86" s="241">
        <f>IF($E86=0,0,NSTonghop!AC86)</f>
        <v>0</v>
      </c>
      <c r="AA86" s="241">
        <f>IF($E86=0,0,NSTonghop!AD86)</f>
        <v>0</v>
      </c>
      <c r="AB86" s="241">
        <f>IF($E86=0,0,NSTonghop!AE86)</f>
        <v>0</v>
      </c>
      <c r="AC86" s="241">
        <f>IF($E86=0,0,NSTonghop!AF86)</f>
        <v>0</v>
      </c>
      <c r="AD86" s="241" t="str">
        <f>IF($E86=0,0,NSTonghop!AH86)</f>
        <v>CN/15/Khá</v>
      </c>
      <c r="AE86" s="241">
        <f>IF($E86=0,0,NSTonghop!AJ86)</f>
        <v>351360733</v>
      </c>
      <c r="AF86" s="241" t="str">
        <f>IF($E86=0,0,NSTonghop!AK86)</f>
        <v>06/06/2014</v>
      </c>
      <c r="AG86" s="241" t="str">
        <f>IF($E86=0,0,NSTonghop!AL86)</f>
        <v>15/09/2000</v>
      </c>
      <c r="AH86" s="241" t="str">
        <f>IF($E86=0,0,NSTonghop!AO86)</f>
        <v>16/09/2011</v>
      </c>
      <c r="AI86" s="241" t="str">
        <f>IF($E86=0,0,NSTonghop!AP86)</f>
        <v>31.047 726</v>
      </c>
      <c r="AJ86" s="241">
        <f>IF($E86=0,0,NSTonghop!AQ86)</f>
        <v>2011</v>
      </c>
      <c r="AK86" s="241" t="str">
        <f>IF($E86=0,0,NSTonghop!AT86)</f>
        <v>0939775370</v>
      </c>
      <c r="AL86" s="212"/>
    </row>
    <row r="87" spans="1:38" x14ac:dyDescent="0.25">
      <c r="A87" s="220"/>
      <c r="B87" s="162">
        <f>IF(E87=0,0,MAX($B$8:B86)+1)</f>
        <v>45</v>
      </c>
      <c r="C87" s="163">
        <f>IF(E87=0,0,MAX($C$84:C86)+1)</f>
        <v>2</v>
      </c>
      <c r="D87" s="162">
        <f>IF(NSTonghop!AO87="",0,NSTonghop!E87)</f>
        <v>0</v>
      </c>
      <c r="E87" s="162" t="str">
        <f>IF(NSTonghop!AO87="",0,NSTonghop!F87)</f>
        <v>Lê Hoàng Sơn</v>
      </c>
      <c r="F87" s="123">
        <f>IF($E87=0,0,NSTonghop!G87)</f>
        <v>0</v>
      </c>
      <c r="G87" s="123" t="str">
        <f>IF($E87=0,0,NSTonghop!H87)</f>
        <v>05/04/1979</v>
      </c>
      <c r="H87" s="123">
        <f>IF($E87=0,0,NSTonghop!I87)</f>
        <v>0</v>
      </c>
      <c r="I87" s="125">
        <f t="shared" si="2"/>
        <v>1979</v>
      </c>
      <c r="J87" s="125">
        <f t="shared" si="3"/>
        <v>0</v>
      </c>
      <c r="K87" s="123" t="str">
        <f>IF($E87=0,0,NSTonghop!L87)</f>
        <v>GV</v>
      </c>
      <c r="L87" s="123">
        <f>IF($E87=0,0,NSTonghop!M87)</f>
        <v>0</v>
      </c>
      <c r="M87" s="123" t="str">
        <f>IF($E87=0,0,NSTonghop!N87)</f>
        <v>Phật</v>
      </c>
      <c r="N87" s="123" t="str">
        <f>IF($E87=0,0,NSTonghop!O87)</f>
        <v>Nông dân</v>
      </c>
      <c r="O87" s="123" t="str">
        <f>IF($E87=0,0,NSTonghop!P87)</f>
        <v>Cái Dầu-AG</v>
      </c>
      <c r="P87" s="123" t="str">
        <f>IF($E87=0,0,NSTonghop!Q87)</f>
        <v>Cái Dầu-Châu Phú</v>
      </c>
      <c r="Q87" s="123" t="str">
        <f>IF($E87=0,0,NSTonghop!R87)</f>
        <v>3 Vĩnh Phúc-Cái Dầu</v>
      </c>
      <c r="R87" s="123" t="str">
        <f>IF($E87=0,0,NSTonghop!S87)</f>
        <v>PTTH/97/TB</v>
      </c>
      <c r="S87" s="123" t="str">
        <f>IF($E87=0,0,NSTonghop!T87)</f>
        <v>CĐ3/TD/00/Khá</v>
      </c>
      <c r="T87" s="123" t="str">
        <f>IF($E87=0,0,NSTonghop!U87)</f>
        <v>ĐHCT/TD/09/Khá</v>
      </c>
      <c r="U87" s="123">
        <f>IF($E87=0,0,NSTonghop!V87)</f>
        <v>0</v>
      </c>
      <c r="V87" s="123" t="str">
        <f>IF($E87=0,0,NSTonghop!W87)</f>
        <v>ĐHCT</v>
      </c>
      <c r="W87" s="241">
        <f>IF($E87=0,0,NSTonghop!Z87)</f>
        <v>0</v>
      </c>
      <c r="X87" s="241" t="str">
        <f>IF($E87=0,0,NSTonghop!AA87)</f>
        <v>SC/18</v>
      </c>
      <c r="Y87" s="241" t="str">
        <f>IF($E87=0,0,NSTonghop!AB87)</f>
        <v>A/08/Khá</v>
      </c>
      <c r="Z87" s="241">
        <f>IF($E87=0,0,NSTonghop!AC87)</f>
        <v>0</v>
      </c>
      <c r="AA87" s="241">
        <f>IF($E87=0,0,NSTonghop!AD87)</f>
        <v>0</v>
      </c>
      <c r="AB87" s="241">
        <f>IF($E87=0,0,NSTonghop!AE87)</f>
        <v>0</v>
      </c>
      <c r="AC87" s="241">
        <f>IF($E87=0,0,NSTonghop!AF87)</f>
        <v>0</v>
      </c>
      <c r="AD87" s="241" t="str">
        <f>IF($E87=0,0,NSTonghop!AH87)</f>
        <v>CN/06/TB</v>
      </c>
      <c r="AE87" s="241">
        <f>IF($E87=0,0,NSTonghop!AJ87)</f>
        <v>351310097</v>
      </c>
      <c r="AF87" s="241" t="str">
        <f>IF($E87=0,0,NSTonghop!AK87)</f>
        <v>15/07/2009</v>
      </c>
      <c r="AG87" s="241" t="str">
        <f>IF($E87=0,0,NSTonghop!AL87)</f>
        <v>01/09/1998</v>
      </c>
      <c r="AH87" s="241" t="str">
        <f>IF($E87=0,0,NSTonghop!AO87)</f>
        <v>27/12/2003</v>
      </c>
      <c r="AI87" s="241" t="str">
        <f>IF($E87=0,0,NSTonghop!AP87)</f>
        <v>31.026 216</v>
      </c>
      <c r="AJ87" s="241">
        <f>IF($E87=0,0,NSTonghop!AQ87)</f>
        <v>2003</v>
      </c>
      <c r="AK87" s="241">
        <f>IF($E87=0,0,NSTonghop!AT87)</f>
        <v>0</v>
      </c>
      <c r="AL87" s="212"/>
    </row>
    <row r="88" spans="1:38" x14ac:dyDescent="0.25">
      <c r="A88" s="220"/>
      <c r="B88" s="229">
        <f>IF(E88=0,0,MAX($B$8:B87)+1)</f>
        <v>46</v>
      </c>
      <c r="C88" s="163">
        <f>IF(E88=0,0,MAX($C$84:C87)+1)</f>
        <v>3</v>
      </c>
      <c r="D88" s="162">
        <f>IF(NSTonghop!AO88="",0,NSTonghop!E88)</f>
        <v>0</v>
      </c>
      <c r="E88" s="162" t="str">
        <f>IF(NSTonghop!AO88="",0,NSTonghop!F88)</f>
        <v>Huỳnh Thảo Bích</v>
      </c>
      <c r="F88" s="123" t="str">
        <f>IF($E88=0,0,NSTonghop!G88)</f>
        <v>x</v>
      </c>
      <c r="G88" s="123">
        <f>IF($E88=0,0,NSTonghop!H88)</f>
        <v>0</v>
      </c>
      <c r="H88" s="123" t="str">
        <f>IF($E88=0,0,NSTonghop!I88)</f>
        <v>09/09/1979</v>
      </c>
      <c r="I88" s="125">
        <f t="shared" si="2"/>
        <v>0</v>
      </c>
      <c r="J88" s="125">
        <f t="shared" si="3"/>
        <v>1979</v>
      </c>
      <c r="K88" s="123" t="str">
        <f>IF($E88=0,0,NSTonghop!L88)</f>
        <v>GV</v>
      </c>
      <c r="L88" s="123">
        <f>IF($E88=0,0,NSTonghop!M88)</f>
        <v>0</v>
      </c>
      <c r="M88" s="123" t="str">
        <f>IF($E88=0,0,NSTonghop!N88)</f>
        <v>Phật</v>
      </c>
      <c r="N88" s="123" t="str">
        <f>IF($E88=0,0,NSTonghop!O88)</f>
        <v>Viên chức</v>
      </c>
      <c r="O88" s="123" t="str">
        <f>IF($E88=0,0,NSTonghop!P88)</f>
        <v>Mỹ Đức-An Giang</v>
      </c>
      <c r="P88" s="123" t="str">
        <f>IF($E88=0,0,NSTonghop!Q88)</f>
        <v>Mỹ Đức-Châu Phú</v>
      </c>
      <c r="Q88" s="123" t="str">
        <f>IF($E88=0,0,NSTonghop!R88)</f>
        <v>237/5 Mỹ Thiện-Mỹ Đức</v>
      </c>
      <c r="R88" s="123" t="str">
        <f>IF($E88=0,0,NSTonghop!S88)</f>
        <v>PTTH/99/TB</v>
      </c>
      <c r="S88" s="123" t="str">
        <f>IF($E88=0,0,NSTonghop!T88)</f>
        <v>CĐ3/Nhạc/02/Khá</v>
      </c>
      <c r="T88" s="123" t="str">
        <f>IF($E88=0,0,NSTonghop!U88)</f>
        <v>ĐHTC/Nhạc/16/Khá</v>
      </c>
      <c r="U88" s="123">
        <f>IF($E88=0,0,NSTonghop!V88)</f>
        <v>0</v>
      </c>
      <c r="V88" s="123" t="str">
        <f>IF($E88=0,0,NSTonghop!W88)</f>
        <v>ĐHTC</v>
      </c>
      <c r="W88" s="241">
        <f>IF($E88=0,0,NSTonghop!Z88)</f>
        <v>0</v>
      </c>
      <c r="X88" s="241" t="str">
        <f>IF($E88=0,0,NSTonghop!AA88)</f>
        <v>SC/18/G</v>
      </c>
      <c r="Y88" s="241" t="str">
        <f>IF($E88=0,0,NSTonghop!AB88)</f>
        <v>A/08/Giỏi</v>
      </c>
      <c r="Z88" s="241" t="str">
        <f>IF($E88=0,0,NSTonghop!AC88)</f>
        <v>B/Anh/15/TB</v>
      </c>
      <c r="AA88" s="241">
        <f>IF($E88=0,0,NSTonghop!AD88)</f>
        <v>0</v>
      </c>
      <c r="AB88" s="241">
        <f>IF($E88=0,0,NSTonghop!AE88)</f>
        <v>0</v>
      </c>
      <c r="AC88" s="241">
        <f>IF($E88=0,0,NSTonghop!AF88)</f>
        <v>0</v>
      </c>
      <c r="AD88" s="241" t="str">
        <f>IF($E88=0,0,NSTonghop!AH88)</f>
        <v>CN/07/Khá</v>
      </c>
      <c r="AE88" s="241">
        <f>IF($E88=0,0,NSTonghop!AJ88)</f>
        <v>351417482</v>
      </c>
      <c r="AF88" s="241" t="str">
        <f>IF($E88=0,0,NSTonghop!AK88)</f>
        <v>12/03/2012</v>
      </c>
      <c r="AG88" s="241" t="str">
        <f>IF($E88=0,0,NSTonghop!AL88)</f>
        <v>01/09/2002</v>
      </c>
      <c r="AH88" s="241" t="str">
        <f>IF($E88=0,0,NSTonghop!AO88)</f>
        <v>24/08/2013</v>
      </c>
      <c r="AI88" s="241" t="str">
        <f>IF($E88=0,0,NSTonghop!AP88)</f>
        <v>31.054 653</v>
      </c>
      <c r="AJ88" s="241">
        <f>IF($E88=0,0,NSTonghop!AQ88)</f>
        <v>2013</v>
      </c>
      <c r="AK88" s="241" t="str">
        <f>IF($E88=0,0,NSTonghop!AT88)</f>
        <v>0795989567</v>
      </c>
      <c r="AL88" s="212"/>
    </row>
    <row r="89" spans="1:38" hidden="1" x14ac:dyDescent="0.25">
      <c r="A89" s="220"/>
      <c r="B89" s="162">
        <f>IF(E89=0,0,MAX($B$8:B88)+1)</f>
        <v>0</v>
      </c>
      <c r="C89" s="163">
        <f>IF(E89=0,0,MAX($C$84:C88)+1)</f>
        <v>0</v>
      </c>
      <c r="D89" s="162">
        <f>IF(NSTonghop!AO89="",0,NSTonghop!E89)</f>
        <v>0</v>
      </c>
      <c r="E89" s="162">
        <f>IF(NSTonghop!AO89="",0,NSTonghop!F89)</f>
        <v>0</v>
      </c>
      <c r="F89" s="123">
        <f>IF($E89=0,0,NSTonghop!G89)</f>
        <v>0</v>
      </c>
      <c r="G89" s="123">
        <f>IF($E89=0,0,NSTonghop!H89)</f>
        <v>0</v>
      </c>
      <c r="H89" s="123">
        <f>IF($E89=0,0,NSTonghop!I89)</f>
        <v>0</v>
      </c>
      <c r="I89" s="125">
        <f t="shared" si="2"/>
        <v>0</v>
      </c>
      <c r="J89" s="125">
        <f t="shared" si="3"/>
        <v>0</v>
      </c>
      <c r="K89" s="123">
        <f>IF($E89=0,0,NSTonghop!L89)</f>
        <v>0</v>
      </c>
      <c r="L89" s="123">
        <f>IF($E89=0,0,NSTonghop!M89)</f>
        <v>0</v>
      </c>
      <c r="M89" s="123">
        <f>IF($E89=0,0,NSTonghop!N89)</f>
        <v>0</v>
      </c>
      <c r="N89" s="123">
        <f>IF($E89=0,0,NSTonghop!O89)</f>
        <v>0</v>
      </c>
      <c r="O89" s="123">
        <f>IF($E89=0,0,NSTonghop!P89)</f>
        <v>0</v>
      </c>
      <c r="P89" s="123">
        <f>IF($E89=0,0,NSTonghop!Q89)</f>
        <v>0</v>
      </c>
      <c r="Q89" s="123">
        <f>IF($E89=0,0,NSTonghop!R89)</f>
        <v>0</v>
      </c>
      <c r="R89" s="123">
        <f>IF($E89=0,0,NSTonghop!S89)</f>
        <v>0</v>
      </c>
      <c r="S89" s="123">
        <f>IF($E89=0,0,NSTonghop!T89)</f>
        <v>0</v>
      </c>
      <c r="T89" s="123">
        <f>IF($E89=0,0,NSTonghop!U89)</f>
        <v>0</v>
      </c>
      <c r="U89" s="123">
        <f>IF($E89=0,0,NSTonghop!V89)</f>
        <v>0</v>
      </c>
      <c r="V89" s="123">
        <f>IF($E89=0,0,NSTonghop!W89)</f>
        <v>0</v>
      </c>
      <c r="W89" s="241">
        <f>IF($E89=0,0,NSTonghop!Z89)</f>
        <v>0</v>
      </c>
      <c r="X89" s="241">
        <f>IF($E89=0,0,NSTonghop!AA89)</f>
        <v>0</v>
      </c>
      <c r="Y89" s="241">
        <f>IF($E89=0,0,NSTonghop!AB89)</f>
        <v>0</v>
      </c>
      <c r="Z89" s="241">
        <f>IF($E89=0,0,NSTonghop!AC89)</f>
        <v>0</v>
      </c>
      <c r="AA89" s="241">
        <f>IF($E89=0,0,NSTonghop!AD89)</f>
        <v>0</v>
      </c>
      <c r="AB89" s="241">
        <f>IF($E89=0,0,NSTonghop!AE89)</f>
        <v>0</v>
      </c>
      <c r="AC89" s="241">
        <f>IF($E89=0,0,NSTonghop!AF89)</f>
        <v>0</v>
      </c>
      <c r="AD89" s="241">
        <f>IF($E89=0,0,NSTonghop!AH89)</f>
        <v>0</v>
      </c>
      <c r="AE89" s="241">
        <f>IF($E89=0,0,NSTonghop!AJ89)</f>
        <v>0</v>
      </c>
      <c r="AF89" s="241">
        <f>IF($E89=0,0,NSTonghop!AK89)</f>
        <v>0</v>
      </c>
      <c r="AG89" s="241">
        <f>IF($E89=0,0,NSTonghop!AL89)</f>
        <v>0</v>
      </c>
      <c r="AH89" s="241">
        <f>IF($E89=0,0,NSTonghop!AO89)</f>
        <v>0</v>
      </c>
      <c r="AI89" s="241">
        <f>IF($E89=0,0,NSTonghop!AP89)</f>
        <v>0</v>
      </c>
      <c r="AJ89" s="241">
        <f>IF($E89=0,0,NSTonghop!AQ89)</f>
        <v>0</v>
      </c>
      <c r="AK89" s="241">
        <f>IF($E89=0,0,NSTonghop!AT89)</f>
        <v>0</v>
      </c>
      <c r="AL89" s="212"/>
    </row>
    <row r="90" spans="1:38" hidden="1" x14ac:dyDescent="0.25">
      <c r="A90" s="220"/>
      <c r="B90" s="162">
        <f>IF(E90=0,0,MAX($B$8:B89)+1)</f>
        <v>0</v>
      </c>
      <c r="C90" s="163">
        <f>IF(E90=0,0,MAX($C$84:C89)+1)</f>
        <v>0</v>
      </c>
      <c r="D90" s="162">
        <f>IF(NSTonghop!AO90="",0,NSTonghop!E90)</f>
        <v>0</v>
      </c>
      <c r="E90" s="162">
        <f>IF(NSTonghop!AO90="",0,NSTonghop!F90)</f>
        <v>0</v>
      </c>
      <c r="F90" s="123">
        <f>IF($E90=0,0,NSTonghop!G90)</f>
        <v>0</v>
      </c>
      <c r="G90" s="123">
        <f>IF($E90=0,0,NSTonghop!H90)</f>
        <v>0</v>
      </c>
      <c r="H90" s="123">
        <f>IF($E90=0,0,NSTonghop!I90)</f>
        <v>0</v>
      </c>
      <c r="I90" s="125">
        <f t="shared" si="2"/>
        <v>0</v>
      </c>
      <c r="J90" s="125">
        <f t="shared" si="3"/>
        <v>0</v>
      </c>
      <c r="K90" s="123">
        <f>IF($E90=0,0,NSTonghop!L90)</f>
        <v>0</v>
      </c>
      <c r="L90" s="123">
        <f>IF($E90=0,0,NSTonghop!M90)</f>
        <v>0</v>
      </c>
      <c r="M90" s="123">
        <f>IF($E90=0,0,NSTonghop!N90)</f>
        <v>0</v>
      </c>
      <c r="N90" s="123">
        <f>IF($E90=0,0,NSTonghop!O90)</f>
        <v>0</v>
      </c>
      <c r="O90" s="123">
        <f>IF($E90=0,0,NSTonghop!P90)</f>
        <v>0</v>
      </c>
      <c r="P90" s="123">
        <f>IF($E90=0,0,NSTonghop!Q90)</f>
        <v>0</v>
      </c>
      <c r="Q90" s="123">
        <f>IF($E90=0,0,NSTonghop!R90)</f>
        <v>0</v>
      </c>
      <c r="R90" s="123">
        <f>IF($E90=0,0,NSTonghop!S90)</f>
        <v>0</v>
      </c>
      <c r="S90" s="123">
        <f>IF($E90=0,0,NSTonghop!T90)</f>
        <v>0</v>
      </c>
      <c r="T90" s="123">
        <f>IF($E90=0,0,NSTonghop!U90)</f>
        <v>0</v>
      </c>
      <c r="U90" s="123">
        <f>IF($E90=0,0,NSTonghop!V90)</f>
        <v>0</v>
      </c>
      <c r="V90" s="123">
        <f>IF($E90=0,0,NSTonghop!W90)</f>
        <v>0</v>
      </c>
      <c r="W90" s="241">
        <f>IF($E90=0,0,NSTonghop!Z90)</f>
        <v>0</v>
      </c>
      <c r="X90" s="241">
        <f>IF($E90=0,0,NSTonghop!AA90)</f>
        <v>0</v>
      </c>
      <c r="Y90" s="241">
        <f>IF($E90=0,0,NSTonghop!AB90)</f>
        <v>0</v>
      </c>
      <c r="Z90" s="241">
        <f>IF($E90=0,0,NSTonghop!AC90)</f>
        <v>0</v>
      </c>
      <c r="AA90" s="241">
        <f>IF($E90=0,0,NSTonghop!AD90)</f>
        <v>0</v>
      </c>
      <c r="AB90" s="241">
        <f>IF($E90=0,0,NSTonghop!AE90)</f>
        <v>0</v>
      </c>
      <c r="AC90" s="241">
        <f>IF($E90=0,0,NSTonghop!AF90)</f>
        <v>0</v>
      </c>
      <c r="AD90" s="241">
        <f>IF($E90=0,0,NSTonghop!AH90)</f>
        <v>0</v>
      </c>
      <c r="AE90" s="241">
        <f>IF($E90=0,0,NSTonghop!AJ90)</f>
        <v>0</v>
      </c>
      <c r="AF90" s="241">
        <f>IF($E90=0,0,NSTonghop!AK90)</f>
        <v>0</v>
      </c>
      <c r="AG90" s="241">
        <f>IF($E90=0,0,NSTonghop!AL90)</f>
        <v>0</v>
      </c>
      <c r="AH90" s="241">
        <f>IF($E90=0,0,NSTonghop!AO90)</f>
        <v>0</v>
      </c>
      <c r="AI90" s="241">
        <f>IF($E90=0,0,NSTonghop!AP90)</f>
        <v>0</v>
      </c>
      <c r="AJ90" s="241">
        <f>IF($E90=0,0,NSTonghop!AQ90)</f>
        <v>0</v>
      </c>
      <c r="AK90" s="241">
        <f>IF($E90=0,0,NSTonghop!AT90)</f>
        <v>0</v>
      </c>
      <c r="AL90" s="212"/>
    </row>
    <row r="91" spans="1:38" hidden="1" x14ac:dyDescent="0.25">
      <c r="A91" s="220"/>
      <c r="B91" s="173">
        <f>IF(E91=0,0,MAX($B$8:B90)+1)</f>
        <v>0</v>
      </c>
      <c r="C91" s="174">
        <f>IF(E91=0,0,MAX($C$84:C90)+1)</f>
        <v>0</v>
      </c>
      <c r="D91" s="173">
        <f>IF(NSTonghop!AO91="",0,NSTonghop!E91)</f>
        <v>0</v>
      </c>
      <c r="E91" s="173">
        <f>IF(NSTonghop!AO91="",0,NSTonghop!F91)</f>
        <v>0</v>
      </c>
      <c r="F91" s="145">
        <f>IF($E91=0,0,NSTonghop!G91)</f>
        <v>0</v>
      </c>
      <c r="G91" s="145">
        <f>IF($E91=0,0,NSTonghop!H91)</f>
        <v>0</v>
      </c>
      <c r="H91" s="145">
        <f>IF($E91=0,0,NSTonghop!I91)</f>
        <v>0</v>
      </c>
      <c r="I91" s="147">
        <f t="shared" si="2"/>
        <v>0</v>
      </c>
      <c r="J91" s="147">
        <f t="shared" si="3"/>
        <v>0</v>
      </c>
      <c r="K91" s="145">
        <f>IF($E91=0,0,NSTonghop!L91)</f>
        <v>0</v>
      </c>
      <c r="L91" s="145">
        <f>IF($E91=0,0,NSTonghop!M91)</f>
        <v>0</v>
      </c>
      <c r="M91" s="145">
        <f>IF($E91=0,0,NSTonghop!N91)</f>
        <v>0</v>
      </c>
      <c r="N91" s="145">
        <f>IF($E91=0,0,NSTonghop!O91)</f>
        <v>0</v>
      </c>
      <c r="O91" s="145">
        <f>IF($E91=0,0,NSTonghop!P91)</f>
        <v>0</v>
      </c>
      <c r="P91" s="145">
        <f>IF($E91=0,0,NSTonghop!Q91)</f>
        <v>0</v>
      </c>
      <c r="Q91" s="145">
        <f>IF($E91=0,0,NSTonghop!R91)</f>
        <v>0</v>
      </c>
      <c r="R91" s="145">
        <f>IF($E91=0,0,NSTonghop!S91)</f>
        <v>0</v>
      </c>
      <c r="S91" s="145">
        <f>IF($E91=0,0,NSTonghop!T91)</f>
        <v>0</v>
      </c>
      <c r="T91" s="145">
        <f>IF($E91=0,0,NSTonghop!U91)</f>
        <v>0</v>
      </c>
      <c r="U91" s="145">
        <f>IF($E91=0,0,NSTonghop!V91)</f>
        <v>0</v>
      </c>
      <c r="V91" s="145">
        <f>IF($E91=0,0,NSTonghop!W91)</f>
        <v>0</v>
      </c>
      <c r="W91" s="242">
        <f>IF($E91=0,0,NSTonghop!Z91)</f>
        <v>0</v>
      </c>
      <c r="X91" s="242">
        <f>IF($E91=0,0,NSTonghop!AA91)</f>
        <v>0</v>
      </c>
      <c r="Y91" s="242">
        <f>IF($E91=0,0,NSTonghop!AB91)</f>
        <v>0</v>
      </c>
      <c r="Z91" s="242">
        <f>IF($E91=0,0,NSTonghop!AC91)</f>
        <v>0</v>
      </c>
      <c r="AA91" s="242">
        <f>IF($E91=0,0,NSTonghop!AD91)</f>
        <v>0</v>
      </c>
      <c r="AB91" s="242">
        <f>IF($E91=0,0,NSTonghop!AE91)</f>
        <v>0</v>
      </c>
      <c r="AC91" s="242">
        <f>IF($E91=0,0,NSTonghop!AF91)</f>
        <v>0</v>
      </c>
      <c r="AD91" s="242">
        <f>IF($E91=0,0,NSTonghop!AH91)</f>
        <v>0</v>
      </c>
      <c r="AE91" s="242">
        <f>IF($E91=0,0,NSTonghop!AJ91)</f>
        <v>0</v>
      </c>
      <c r="AF91" s="242">
        <f>IF($E91=0,0,NSTonghop!AK91)</f>
        <v>0</v>
      </c>
      <c r="AG91" s="242">
        <f>IF($E91=0,0,NSTonghop!AL91)</f>
        <v>0</v>
      </c>
      <c r="AH91" s="242">
        <f>IF($E91=0,0,NSTonghop!AO91)</f>
        <v>0</v>
      </c>
      <c r="AI91" s="242">
        <f>IF($E91=0,0,NSTonghop!AP91)</f>
        <v>0</v>
      </c>
      <c r="AJ91" s="242">
        <f>IF($E91=0,0,NSTonghop!AQ91)</f>
        <v>0</v>
      </c>
      <c r="AK91" s="242">
        <f>IF($E91=0,0,NSTonghop!AT91)</f>
        <v>0</v>
      </c>
      <c r="AL91" s="212"/>
    </row>
    <row r="92" spans="1:38" hidden="1" x14ac:dyDescent="0.25">
      <c r="A92" s="220"/>
      <c r="B92" s="151">
        <f>IF(E92=0,0,MAX($B$8:B91)+1)</f>
        <v>0</v>
      </c>
      <c r="C92" s="190"/>
      <c r="D92" s="151">
        <f>IF(NSTonghop!AO92="",0,NSTonghop!E92)</f>
        <v>0</v>
      </c>
      <c r="E92" s="151">
        <f>IF(NSTonghop!AO92="",0,NSTonghop!F92)</f>
        <v>0</v>
      </c>
      <c r="F92" s="123">
        <f>IF($E92=0,0,NSTonghop!G92)</f>
        <v>0</v>
      </c>
      <c r="G92" s="123">
        <f>IF($E92=0,0,NSTonghop!H92)</f>
        <v>0</v>
      </c>
      <c r="H92" s="123">
        <f>IF($E92=0,0,NSTonghop!I92)</f>
        <v>0</v>
      </c>
      <c r="I92" s="185">
        <f t="shared" si="2"/>
        <v>0</v>
      </c>
      <c r="J92" s="185">
        <f t="shared" si="3"/>
        <v>0</v>
      </c>
      <c r="K92" s="123">
        <f>IF($E92=0,0,NSTonghop!L92)</f>
        <v>0</v>
      </c>
      <c r="L92" s="123">
        <f>IF($E92=0,0,NSTonghop!M92)</f>
        <v>0</v>
      </c>
      <c r="M92" s="123">
        <f>IF($E92=0,0,NSTonghop!N92)</f>
        <v>0</v>
      </c>
      <c r="N92" s="123">
        <f>IF($E92=0,0,NSTonghop!O92)</f>
        <v>0</v>
      </c>
      <c r="O92" s="123">
        <f>IF($E92=0,0,NSTonghop!P92)</f>
        <v>0</v>
      </c>
      <c r="P92" s="123">
        <f>IF($E92=0,0,NSTonghop!Q92)</f>
        <v>0</v>
      </c>
      <c r="Q92" s="123">
        <f>IF($E92=0,0,NSTonghop!R92)</f>
        <v>0</v>
      </c>
      <c r="R92" s="123">
        <f>IF($E92=0,0,NSTonghop!S92)</f>
        <v>0</v>
      </c>
      <c r="S92" s="123">
        <f>IF($E92=0,0,NSTonghop!T92)</f>
        <v>0</v>
      </c>
      <c r="T92" s="123">
        <f>IF($E92=0,0,NSTonghop!U92)</f>
        <v>0</v>
      </c>
      <c r="U92" s="123">
        <f>IF($E92=0,0,NSTonghop!V92)</f>
        <v>0</v>
      </c>
      <c r="V92" s="123">
        <f>IF($E92=0,0,NSTonghop!W92)</f>
        <v>0</v>
      </c>
      <c r="W92" s="241">
        <f>IF($E92=0,0,NSTonghop!Z92)</f>
        <v>0</v>
      </c>
      <c r="X92" s="241">
        <f>IF($E92=0,0,NSTonghop!AA92)</f>
        <v>0</v>
      </c>
      <c r="Y92" s="241">
        <f>IF($E92=0,0,NSTonghop!AB92)</f>
        <v>0</v>
      </c>
      <c r="Z92" s="241">
        <f>IF($E92=0,0,NSTonghop!AC92)</f>
        <v>0</v>
      </c>
      <c r="AA92" s="241">
        <f>IF($E92=0,0,NSTonghop!AD92)</f>
        <v>0</v>
      </c>
      <c r="AB92" s="241">
        <f>IF($E92=0,0,NSTonghop!AE92)</f>
        <v>0</v>
      </c>
      <c r="AC92" s="241">
        <f>IF($E92=0,0,NSTonghop!AF92)</f>
        <v>0</v>
      </c>
      <c r="AD92" s="241">
        <f>IF($E92=0,0,NSTonghop!AH92)</f>
        <v>0</v>
      </c>
      <c r="AE92" s="241">
        <f>IF($E92=0,0,NSTonghop!AJ92)</f>
        <v>0</v>
      </c>
      <c r="AF92" s="241">
        <f>IF($E92=0,0,NSTonghop!AK92)</f>
        <v>0</v>
      </c>
      <c r="AG92" s="241">
        <f>IF($E92=0,0,NSTonghop!AL92)</f>
        <v>0</v>
      </c>
      <c r="AH92" s="241">
        <f>IF($E92=0,0,NSTonghop!AO92)</f>
        <v>0</v>
      </c>
      <c r="AI92" s="241">
        <f>IF($E92=0,0,NSTonghop!AP92)</f>
        <v>0</v>
      </c>
      <c r="AJ92" s="241">
        <f>IF($E92=0,0,NSTonghop!AQ92)</f>
        <v>0</v>
      </c>
      <c r="AK92" s="241">
        <f>IF($E92=0,0,NSTonghop!AT92)</f>
        <v>0</v>
      </c>
      <c r="AL92" s="212"/>
    </row>
    <row r="93" spans="1:38" hidden="1" x14ac:dyDescent="0.25">
      <c r="A93" s="220"/>
      <c r="B93" s="162">
        <f>IF(E93=0,0,MAX($B$8:B92)+1)</f>
        <v>0</v>
      </c>
      <c r="C93" s="191"/>
      <c r="D93" s="162">
        <f>IF(NSTonghop!AO93="",0,NSTonghop!E93)</f>
        <v>0</v>
      </c>
      <c r="E93" s="162">
        <f>IF(NSTonghop!AO93="",0,NSTonghop!F93)</f>
        <v>0</v>
      </c>
      <c r="F93" s="123">
        <f>IF($E93=0,0,NSTonghop!G93)</f>
        <v>0</v>
      </c>
      <c r="G93" s="123">
        <f>IF($E93=0,0,NSTonghop!H93)</f>
        <v>0</v>
      </c>
      <c r="H93" s="123">
        <f>IF($E93=0,0,NSTonghop!I93)</f>
        <v>0</v>
      </c>
      <c r="I93" s="125">
        <f t="shared" si="2"/>
        <v>0</v>
      </c>
      <c r="J93" s="125">
        <f t="shared" si="3"/>
        <v>0</v>
      </c>
      <c r="K93" s="123">
        <f>IF($E93=0,0,NSTonghop!L93)</f>
        <v>0</v>
      </c>
      <c r="L93" s="123">
        <f>IF($E93=0,0,NSTonghop!M93)</f>
        <v>0</v>
      </c>
      <c r="M93" s="123">
        <f>IF($E93=0,0,NSTonghop!N93)</f>
        <v>0</v>
      </c>
      <c r="N93" s="123">
        <f>IF($E93=0,0,NSTonghop!O93)</f>
        <v>0</v>
      </c>
      <c r="O93" s="123">
        <f>IF($E93=0,0,NSTonghop!P93)</f>
        <v>0</v>
      </c>
      <c r="P93" s="123">
        <f>IF($E93=0,0,NSTonghop!Q93)</f>
        <v>0</v>
      </c>
      <c r="Q93" s="123">
        <f>IF($E93=0,0,NSTonghop!R93)</f>
        <v>0</v>
      </c>
      <c r="R93" s="123">
        <f>IF($E93=0,0,NSTonghop!S93)</f>
        <v>0</v>
      </c>
      <c r="S93" s="123">
        <f>IF($E93=0,0,NSTonghop!T93)</f>
        <v>0</v>
      </c>
      <c r="T93" s="123">
        <f>IF($E93=0,0,NSTonghop!U93)</f>
        <v>0</v>
      </c>
      <c r="U93" s="123">
        <f>IF($E93=0,0,NSTonghop!V93)</f>
        <v>0</v>
      </c>
      <c r="V93" s="123">
        <f>IF($E93=0,0,NSTonghop!W93)</f>
        <v>0</v>
      </c>
      <c r="W93" s="241">
        <f>IF($E93=0,0,NSTonghop!Z93)</f>
        <v>0</v>
      </c>
      <c r="X93" s="241">
        <f>IF($E93=0,0,NSTonghop!AA93)</f>
        <v>0</v>
      </c>
      <c r="Y93" s="241">
        <f>IF($E93=0,0,NSTonghop!AB93)</f>
        <v>0</v>
      </c>
      <c r="Z93" s="241">
        <f>IF($E93=0,0,NSTonghop!AC93)</f>
        <v>0</v>
      </c>
      <c r="AA93" s="241">
        <f>IF($E93=0,0,NSTonghop!AD93)</f>
        <v>0</v>
      </c>
      <c r="AB93" s="241">
        <f>IF($E93=0,0,NSTonghop!AE93)</f>
        <v>0</v>
      </c>
      <c r="AC93" s="241">
        <f>IF($E93=0,0,NSTonghop!AF93)</f>
        <v>0</v>
      </c>
      <c r="AD93" s="241">
        <f>IF($E93=0,0,NSTonghop!AH93)</f>
        <v>0</v>
      </c>
      <c r="AE93" s="241">
        <f>IF($E93=0,0,NSTonghop!AJ93)</f>
        <v>0</v>
      </c>
      <c r="AF93" s="241">
        <f>IF($E93=0,0,NSTonghop!AK93)</f>
        <v>0</v>
      </c>
      <c r="AG93" s="241">
        <f>IF($E93=0,0,NSTonghop!AL93)</f>
        <v>0</v>
      </c>
      <c r="AH93" s="241">
        <f>IF($E93=0,0,NSTonghop!AO93)</f>
        <v>0</v>
      </c>
      <c r="AI93" s="241">
        <f>IF($E93=0,0,NSTonghop!AP93)</f>
        <v>0</v>
      </c>
      <c r="AJ93" s="241">
        <f>IF($E93=0,0,NSTonghop!AQ93)</f>
        <v>0</v>
      </c>
      <c r="AK93" s="241">
        <f>IF($E93=0,0,NSTonghop!AT93)</f>
        <v>0</v>
      </c>
      <c r="AL93" s="212"/>
    </row>
    <row r="94" spans="1:38" hidden="1" x14ac:dyDescent="0.25">
      <c r="A94" s="220"/>
      <c r="B94" s="162">
        <f>IF(E94=0,0,MAX($B$8:B93)+1)</f>
        <v>0</v>
      </c>
      <c r="C94" s="191"/>
      <c r="D94" s="162">
        <f>IF(NSTonghop!AO94="",0,NSTonghop!E94)</f>
        <v>0</v>
      </c>
      <c r="E94" s="162">
        <f>IF(NSTonghop!AO94="",0,NSTonghop!F94)</f>
        <v>0</v>
      </c>
      <c r="F94" s="123">
        <f>IF($E94=0,0,NSTonghop!G94)</f>
        <v>0</v>
      </c>
      <c r="G94" s="123">
        <f>IF($E94=0,0,NSTonghop!H94)</f>
        <v>0</v>
      </c>
      <c r="H94" s="123">
        <f>IF($E94=0,0,NSTonghop!I94)</f>
        <v>0</v>
      </c>
      <c r="I94" s="125">
        <f t="shared" si="2"/>
        <v>0</v>
      </c>
      <c r="J94" s="125">
        <f t="shared" si="3"/>
        <v>0</v>
      </c>
      <c r="K94" s="123">
        <f>IF($E94=0,0,NSTonghop!L94)</f>
        <v>0</v>
      </c>
      <c r="L94" s="123">
        <f>IF($E94=0,0,NSTonghop!M94)</f>
        <v>0</v>
      </c>
      <c r="M94" s="123">
        <f>IF($E94=0,0,NSTonghop!N94)</f>
        <v>0</v>
      </c>
      <c r="N94" s="123">
        <f>IF($E94=0,0,NSTonghop!O94)</f>
        <v>0</v>
      </c>
      <c r="O94" s="123">
        <f>IF($E94=0,0,NSTonghop!P94)</f>
        <v>0</v>
      </c>
      <c r="P94" s="123">
        <f>IF($E94=0,0,NSTonghop!Q94)</f>
        <v>0</v>
      </c>
      <c r="Q94" s="123">
        <f>IF($E94=0,0,NSTonghop!R94)</f>
        <v>0</v>
      </c>
      <c r="R94" s="123">
        <f>IF($E94=0,0,NSTonghop!S94)</f>
        <v>0</v>
      </c>
      <c r="S94" s="123">
        <f>IF($E94=0,0,NSTonghop!T94)</f>
        <v>0</v>
      </c>
      <c r="T94" s="123">
        <f>IF($E94=0,0,NSTonghop!U94)</f>
        <v>0</v>
      </c>
      <c r="U94" s="123">
        <f>IF($E94=0,0,NSTonghop!V94)</f>
        <v>0</v>
      </c>
      <c r="V94" s="123">
        <f>IF($E94=0,0,NSTonghop!W94)</f>
        <v>0</v>
      </c>
      <c r="W94" s="241">
        <f>IF($E94=0,0,NSTonghop!Z94)</f>
        <v>0</v>
      </c>
      <c r="X94" s="241">
        <f>IF($E94=0,0,NSTonghop!AA94)</f>
        <v>0</v>
      </c>
      <c r="Y94" s="241">
        <f>IF($E94=0,0,NSTonghop!AB94)</f>
        <v>0</v>
      </c>
      <c r="Z94" s="241">
        <f>IF($E94=0,0,NSTonghop!AC94)</f>
        <v>0</v>
      </c>
      <c r="AA94" s="241">
        <f>IF($E94=0,0,NSTonghop!AD94)</f>
        <v>0</v>
      </c>
      <c r="AB94" s="241">
        <f>IF($E94=0,0,NSTonghop!AE94)</f>
        <v>0</v>
      </c>
      <c r="AC94" s="241">
        <f>IF($E94=0,0,NSTonghop!AF94)</f>
        <v>0</v>
      </c>
      <c r="AD94" s="241">
        <f>IF($E94=0,0,NSTonghop!AH94)</f>
        <v>0</v>
      </c>
      <c r="AE94" s="241">
        <f>IF($E94=0,0,NSTonghop!AJ94)</f>
        <v>0</v>
      </c>
      <c r="AF94" s="241">
        <f>IF($E94=0,0,NSTonghop!AK94)</f>
        <v>0</v>
      </c>
      <c r="AG94" s="241">
        <f>IF($E94=0,0,NSTonghop!AL94)</f>
        <v>0</v>
      </c>
      <c r="AH94" s="241">
        <f>IF($E94=0,0,NSTonghop!AO94)</f>
        <v>0</v>
      </c>
      <c r="AI94" s="241">
        <f>IF($E94=0,0,NSTonghop!AP94)</f>
        <v>0</v>
      </c>
      <c r="AJ94" s="241">
        <f>IF($E94=0,0,NSTonghop!AQ94)</f>
        <v>0</v>
      </c>
      <c r="AK94" s="241">
        <f>IF($E94=0,0,NSTonghop!AT94)</f>
        <v>0</v>
      </c>
      <c r="AL94" s="212"/>
    </row>
    <row r="95" spans="1:38" hidden="1" x14ac:dyDescent="0.25">
      <c r="A95" s="220"/>
      <c r="B95" s="162">
        <f>IF(E95=0,0,MAX($B$8:B94)+1)</f>
        <v>0</v>
      </c>
      <c r="C95" s="191"/>
      <c r="D95" s="162">
        <f>IF(NSTonghop!AO95="",0,NSTonghop!E95)</f>
        <v>0</v>
      </c>
      <c r="E95" s="162">
        <f>IF(NSTonghop!AO95="",0,NSTonghop!F95)</f>
        <v>0</v>
      </c>
      <c r="F95" s="123">
        <f>IF($E95=0,0,NSTonghop!G95)</f>
        <v>0</v>
      </c>
      <c r="G95" s="123">
        <f>IF($E95=0,0,NSTonghop!H95)</f>
        <v>0</v>
      </c>
      <c r="H95" s="123">
        <f>IF($E95=0,0,NSTonghop!I95)</f>
        <v>0</v>
      </c>
      <c r="I95" s="125">
        <f t="shared" si="2"/>
        <v>0</v>
      </c>
      <c r="J95" s="125">
        <f t="shared" si="3"/>
        <v>0</v>
      </c>
      <c r="K95" s="123">
        <f>IF($E95=0,0,NSTonghop!L95)</f>
        <v>0</v>
      </c>
      <c r="L95" s="123">
        <f>IF($E95=0,0,NSTonghop!M95)</f>
        <v>0</v>
      </c>
      <c r="M95" s="123">
        <f>IF($E95=0,0,NSTonghop!N95)</f>
        <v>0</v>
      </c>
      <c r="N95" s="123">
        <f>IF($E95=0,0,NSTonghop!O95)</f>
        <v>0</v>
      </c>
      <c r="O95" s="123">
        <f>IF($E95=0,0,NSTonghop!P95)</f>
        <v>0</v>
      </c>
      <c r="P95" s="123">
        <f>IF($E95=0,0,NSTonghop!Q95)</f>
        <v>0</v>
      </c>
      <c r="Q95" s="123">
        <f>IF($E95=0,0,NSTonghop!R95)</f>
        <v>0</v>
      </c>
      <c r="R95" s="123">
        <f>IF($E95=0,0,NSTonghop!S95)</f>
        <v>0</v>
      </c>
      <c r="S95" s="123">
        <f>IF($E95=0,0,NSTonghop!T95)</f>
        <v>0</v>
      </c>
      <c r="T95" s="123">
        <f>IF($E95=0,0,NSTonghop!U95)</f>
        <v>0</v>
      </c>
      <c r="U95" s="123">
        <f>IF($E95=0,0,NSTonghop!V95)</f>
        <v>0</v>
      </c>
      <c r="V95" s="123">
        <f>IF($E95=0,0,NSTonghop!W95)</f>
        <v>0</v>
      </c>
      <c r="W95" s="241">
        <f>IF($E95=0,0,NSTonghop!Z95)</f>
        <v>0</v>
      </c>
      <c r="X95" s="241">
        <f>IF($E95=0,0,NSTonghop!AA95)</f>
        <v>0</v>
      </c>
      <c r="Y95" s="241">
        <f>IF($E95=0,0,NSTonghop!AB95)</f>
        <v>0</v>
      </c>
      <c r="Z95" s="241">
        <f>IF($E95=0,0,NSTonghop!AC95)</f>
        <v>0</v>
      </c>
      <c r="AA95" s="241">
        <f>IF($E95=0,0,NSTonghop!AD95)</f>
        <v>0</v>
      </c>
      <c r="AB95" s="241">
        <f>IF($E95=0,0,NSTonghop!AE95)</f>
        <v>0</v>
      </c>
      <c r="AC95" s="241">
        <f>IF($E95=0,0,NSTonghop!AF95)</f>
        <v>0</v>
      </c>
      <c r="AD95" s="241">
        <f>IF($E95=0,0,NSTonghop!AH95)</f>
        <v>0</v>
      </c>
      <c r="AE95" s="241">
        <f>IF($E95=0,0,NSTonghop!AJ95)</f>
        <v>0</v>
      </c>
      <c r="AF95" s="241">
        <f>IF($E95=0,0,NSTonghop!AK95)</f>
        <v>0</v>
      </c>
      <c r="AG95" s="241">
        <f>IF($E95=0,0,NSTonghop!AL95)</f>
        <v>0</v>
      </c>
      <c r="AH95" s="241">
        <f>IF($E95=0,0,NSTonghop!AO95)</f>
        <v>0</v>
      </c>
      <c r="AI95" s="241">
        <f>IF($E95=0,0,NSTonghop!AP95)</f>
        <v>0</v>
      </c>
      <c r="AJ95" s="241">
        <f>IF($E95=0,0,NSTonghop!AQ95)</f>
        <v>0</v>
      </c>
      <c r="AK95" s="241">
        <f>IF($E95=0,0,NSTonghop!AT95)</f>
        <v>0</v>
      </c>
      <c r="AL95" s="212"/>
    </row>
    <row r="96" spans="1:38" hidden="1" x14ac:dyDescent="0.25">
      <c r="A96" s="220"/>
      <c r="B96" s="162">
        <f>IF(E96=0,0,MAX($B$8:B95)+1)</f>
        <v>0</v>
      </c>
      <c r="C96" s="191"/>
      <c r="D96" s="162">
        <f>IF(NSTonghop!AO96="",0,NSTonghop!E96)</f>
        <v>0</v>
      </c>
      <c r="E96" s="162">
        <f>IF(NSTonghop!AO96="",0,NSTonghop!F96)</f>
        <v>0</v>
      </c>
      <c r="F96" s="123">
        <f>IF($E96=0,0,NSTonghop!G96)</f>
        <v>0</v>
      </c>
      <c r="G96" s="123">
        <f>IF($E96=0,0,NSTonghop!H96)</f>
        <v>0</v>
      </c>
      <c r="H96" s="123">
        <f>IF($E96=0,0,NSTonghop!I96)</f>
        <v>0</v>
      </c>
      <c r="I96" s="125">
        <f t="shared" si="2"/>
        <v>0</v>
      </c>
      <c r="J96" s="125">
        <f t="shared" si="3"/>
        <v>0</v>
      </c>
      <c r="K96" s="123">
        <f>IF($E96=0,0,NSTonghop!L96)</f>
        <v>0</v>
      </c>
      <c r="L96" s="123">
        <f>IF($E96=0,0,NSTonghop!M96)</f>
        <v>0</v>
      </c>
      <c r="M96" s="123">
        <f>IF($E96=0,0,NSTonghop!N96)</f>
        <v>0</v>
      </c>
      <c r="N96" s="123">
        <f>IF($E96=0,0,NSTonghop!O96)</f>
        <v>0</v>
      </c>
      <c r="O96" s="123">
        <f>IF($E96=0,0,NSTonghop!P96)</f>
        <v>0</v>
      </c>
      <c r="P96" s="123">
        <f>IF($E96=0,0,NSTonghop!Q96)</f>
        <v>0</v>
      </c>
      <c r="Q96" s="123">
        <f>IF($E96=0,0,NSTonghop!R96)</f>
        <v>0</v>
      </c>
      <c r="R96" s="123">
        <f>IF($E96=0,0,NSTonghop!S96)</f>
        <v>0</v>
      </c>
      <c r="S96" s="123">
        <f>IF($E96=0,0,NSTonghop!T96)</f>
        <v>0</v>
      </c>
      <c r="T96" s="123">
        <f>IF($E96=0,0,NSTonghop!U96)</f>
        <v>0</v>
      </c>
      <c r="U96" s="123">
        <f>IF($E96=0,0,NSTonghop!V96)</f>
        <v>0</v>
      </c>
      <c r="V96" s="123">
        <f>IF($E96=0,0,NSTonghop!W96)</f>
        <v>0</v>
      </c>
      <c r="W96" s="241">
        <f>IF($E96=0,0,NSTonghop!Z96)</f>
        <v>0</v>
      </c>
      <c r="X96" s="241">
        <f>IF($E96=0,0,NSTonghop!AA96)</f>
        <v>0</v>
      </c>
      <c r="Y96" s="241">
        <f>IF($E96=0,0,NSTonghop!AB96)</f>
        <v>0</v>
      </c>
      <c r="Z96" s="241">
        <f>IF($E96=0,0,NSTonghop!AC96)</f>
        <v>0</v>
      </c>
      <c r="AA96" s="241">
        <f>IF($E96=0,0,NSTonghop!AD96)</f>
        <v>0</v>
      </c>
      <c r="AB96" s="241">
        <f>IF($E96=0,0,NSTonghop!AE96)</f>
        <v>0</v>
      </c>
      <c r="AC96" s="241">
        <f>IF($E96=0,0,NSTonghop!AF96)</f>
        <v>0</v>
      </c>
      <c r="AD96" s="241">
        <f>IF($E96=0,0,NSTonghop!AH96)</f>
        <v>0</v>
      </c>
      <c r="AE96" s="241">
        <f>IF($E96=0,0,NSTonghop!AJ96)</f>
        <v>0</v>
      </c>
      <c r="AF96" s="241">
        <f>IF($E96=0,0,NSTonghop!AK96)</f>
        <v>0</v>
      </c>
      <c r="AG96" s="241">
        <f>IF($E96=0,0,NSTonghop!AL96)</f>
        <v>0</v>
      </c>
      <c r="AH96" s="241">
        <f>IF($E96=0,0,NSTonghop!AO96)</f>
        <v>0</v>
      </c>
      <c r="AI96" s="241">
        <f>IF($E96=0,0,NSTonghop!AP96)</f>
        <v>0</v>
      </c>
      <c r="AJ96" s="241">
        <f>IF($E96=0,0,NSTonghop!AQ96)</f>
        <v>0</v>
      </c>
      <c r="AK96" s="241">
        <f>IF($E96=0,0,NSTonghop!AT96)</f>
        <v>0</v>
      </c>
      <c r="AL96" s="212"/>
    </row>
    <row r="97" spans="1:38" hidden="1" x14ac:dyDescent="0.25">
      <c r="A97" s="220"/>
      <c r="B97" s="162">
        <f>IF(E97=0,0,MAX($B$8:B96)+1)</f>
        <v>0</v>
      </c>
      <c r="C97" s="191"/>
      <c r="D97" s="162">
        <f>IF(NSTonghop!AO97="",0,NSTonghop!E97)</f>
        <v>0</v>
      </c>
      <c r="E97" s="162">
        <f>IF(NSTonghop!AO97="",0,NSTonghop!F97)</f>
        <v>0</v>
      </c>
      <c r="F97" s="123">
        <f>IF($E97=0,0,NSTonghop!G97)</f>
        <v>0</v>
      </c>
      <c r="G97" s="123">
        <f>IF($E97=0,0,NSTonghop!H97)</f>
        <v>0</v>
      </c>
      <c r="H97" s="123">
        <f>IF($E97=0,0,NSTonghop!I97)</f>
        <v>0</v>
      </c>
      <c r="I97" s="125">
        <f t="shared" si="2"/>
        <v>0</v>
      </c>
      <c r="J97" s="125">
        <f t="shared" si="3"/>
        <v>0</v>
      </c>
      <c r="K97" s="123">
        <f>IF($E97=0,0,NSTonghop!L97)</f>
        <v>0</v>
      </c>
      <c r="L97" s="123">
        <f>IF($E97=0,0,NSTonghop!M97)</f>
        <v>0</v>
      </c>
      <c r="M97" s="123">
        <f>IF($E97=0,0,NSTonghop!N97)</f>
        <v>0</v>
      </c>
      <c r="N97" s="123">
        <f>IF($E97=0,0,NSTonghop!O97)</f>
        <v>0</v>
      </c>
      <c r="O97" s="123">
        <f>IF($E97=0,0,NSTonghop!P97)</f>
        <v>0</v>
      </c>
      <c r="P97" s="123">
        <f>IF($E97=0,0,NSTonghop!Q97)</f>
        <v>0</v>
      </c>
      <c r="Q97" s="123">
        <f>IF($E97=0,0,NSTonghop!R97)</f>
        <v>0</v>
      </c>
      <c r="R97" s="123">
        <f>IF($E97=0,0,NSTonghop!S97)</f>
        <v>0</v>
      </c>
      <c r="S97" s="123">
        <f>IF($E97=0,0,NSTonghop!T97)</f>
        <v>0</v>
      </c>
      <c r="T97" s="123">
        <f>IF($E97=0,0,NSTonghop!U97)</f>
        <v>0</v>
      </c>
      <c r="U97" s="123">
        <f>IF($E97=0,0,NSTonghop!V97)</f>
        <v>0</v>
      </c>
      <c r="V97" s="123">
        <f>IF($E97=0,0,NSTonghop!W97)</f>
        <v>0</v>
      </c>
      <c r="W97" s="241">
        <f>IF($E97=0,0,NSTonghop!Z97)</f>
        <v>0</v>
      </c>
      <c r="X97" s="241">
        <f>IF($E97=0,0,NSTonghop!AA97)</f>
        <v>0</v>
      </c>
      <c r="Y97" s="241">
        <f>IF($E97=0,0,NSTonghop!AB97)</f>
        <v>0</v>
      </c>
      <c r="Z97" s="241">
        <f>IF($E97=0,0,NSTonghop!AC97)</f>
        <v>0</v>
      </c>
      <c r="AA97" s="241">
        <f>IF($E97=0,0,NSTonghop!AD97)</f>
        <v>0</v>
      </c>
      <c r="AB97" s="241">
        <f>IF($E97=0,0,NSTonghop!AE97)</f>
        <v>0</v>
      </c>
      <c r="AC97" s="241">
        <f>IF($E97=0,0,NSTonghop!AF97)</f>
        <v>0</v>
      </c>
      <c r="AD97" s="241">
        <f>IF($E97=0,0,NSTonghop!AH97)</f>
        <v>0</v>
      </c>
      <c r="AE97" s="241">
        <f>IF($E97=0,0,NSTonghop!AJ97)</f>
        <v>0</v>
      </c>
      <c r="AF97" s="241">
        <f>IF($E97=0,0,NSTonghop!AK97)</f>
        <v>0</v>
      </c>
      <c r="AG97" s="241">
        <f>IF($E97=0,0,NSTonghop!AL97)</f>
        <v>0</v>
      </c>
      <c r="AH97" s="241">
        <f>IF($E97=0,0,NSTonghop!AO97)</f>
        <v>0</v>
      </c>
      <c r="AI97" s="241">
        <f>IF($E97=0,0,NSTonghop!AP97)</f>
        <v>0</v>
      </c>
      <c r="AJ97" s="241">
        <f>IF($E97=0,0,NSTonghop!AQ97)</f>
        <v>0</v>
      </c>
      <c r="AK97" s="241">
        <f>IF($E97=0,0,NSTonghop!AT97)</f>
        <v>0</v>
      </c>
      <c r="AL97" s="212"/>
    </row>
    <row r="98" spans="1:38" hidden="1" x14ac:dyDescent="0.25">
      <c r="A98" s="220"/>
      <c r="B98" s="162">
        <f>IF(E98=0,0,MAX($B$8:B97)+1)</f>
        <v>0</v>
      </c>
      <c r="C98" s="191"/>
      <c r="D98" s="162">
        <f>IF(NSTonghop!AO98="",0,NSTonghop!E98)</f>
        <v>0</v>
      </c>
      <c r="E98" s="162">
        <f>IF(NSTonghop!AO98="",0,NSTonghop!F98)</f>
        <v>0</v>
      </c>
      <c r="F98" s="123">
        <f>IF($E98=0,0,NSTonghop!G98)</f>
        <v>0</v>
      </c>
      <c r="G98" s="123">
        <f>IF($E98=0,0,NSTonghop!H98)</f>
        <v>0</v>
      </c>
      <c r="H98" s="123">
        <f>IF($E98=0,0,NSTonghop!I98)</f>
        <v>0</v>
      </c>
      <c r="I98" s="125">
        <f t="shared" si="2"/>
        <v>0</v>
      </c>
      <c r="J98" s="125">
        <f t="shared" si="3"/>
        <v>0</v>
      </c>
      <c r="K98" s="123">
        <f>IF($E98=0,0,NSTonghop!L98)</f>
        <v>0</v>
      </c>
      <c r="L98" s="123">
        <f>IF($E98=0,0,NSTonghop!M98)</f>
        <v>0</v>
      </c>
      <c r="M98" s="123">
        <f>IF($E98=0,0,NSTonghop!N98)</f>
        <v>0</v>
      </c>
      <c r="N98" s="123">
        <f>IF($E98=0,0,NSTonghop!O98)</f>
        <v>0</v>
      </c>
      <c r="O98" s="123">
        <f>IF($E98=0,0,NSTonghop!P98)</f>
        <v>0</v>
      </c>
      <c r="P98" s="123">
        <f>IF($E98=0,0,NSTonghop!Q98)</f>
        <v>0</v>
      </c>
      <c r="Q98" s="123">
        <f>IF($E98=0,0,NSTonghop!R98)</f>
        <v>0</v>
      </c>
      <c r="R98" s="123">
        <f>IF($E98=0,0,NSTonghop!S98)</f>
        <v>0</v>
      </c>
      <c r="S98" s="123">
        <f>IF($E98=0,0,NSTonghop!T98)</f>
        <v>0</v>
      </c>
      <c r="T98" s="123">
        <f>IF($E98=0,0,NSTonghop!U98)</f>
        <v>0</v>
      </c>
      <c r="U98" s="123">
        <f>IF($E98=0,0,NSTonghop!V98)</f>
        <v>0</v>
      </c>
      <c r="V98" s="123">
        <f>IF($E98=0,0,NSTonghop!W98)</f>
        <v>0</v>
      </c>
      <c r="W98" s="241">
        <f>IF($E98=0,0,NSTonghop!Z98)</f>
        <v>0</v>
      </c>
      <c r="X98" s="241">
        <f>IF($E98=0,0,NSTonghop!AA98)</f>
        <v>0</v>
      </c>
      <c r="Y98" s="241">
        <f>IF($E98=0,0,NSTonghop!AB98)</f>
        <v>0</v>
      </c>
      <c r="Z98" s="241">
        <f>IF($E98=0,0,NSTonghop!AC98)</f>
        <v>0</v>
      </c>
      <c r="AA98" s="241">
        <f>IF($E98=0,0,NSTonghop!AD98)</f>
        <v>0</v>
      </c>
      <c r="AB98" s="241">
        <f>IF($E98=0,0,NSTonghop!AE98)</f>
        <v>0</v>
      </c>
      <c r="AC98" s="241">
        <f>IF($E98=0,0,NSTonghop!AF98)</f>
        <v>0</v>
      </c>
      <c r="AD98" s="241">
        <f>IF($E98=0,0,NSTonghop!AH98)</f>
        <v>0</v>
      </c>
      <c r="AE98" s="241">
        <f>IF($E98=0,0,NSTonghop!AJ98)</f>
        <v>0</v>
      </c>
      <c r="AF98" s="241">
        <f>IF($E98=0,0,NSTonghop!AK98)</f>
        <v>0</v>
      </c>
      <c r="AG98" s="241">
        <f>IF($E98=0,0,NSTonghop!AL98)</f>
        <v>0</v>
      </c>
      <c r="AH98" s="241">
        <f>IF($E98=0,0,NSTonghop!AO98)</f>
        <v>0</v>
      </c>
      <c r="AI98" s="241">
        <f>IF($E98=0,0,NSTonghop!AP98)</f>
        <v>0</v>
      </c>
      <c r="AJ98" s="241">
        <f>IF($E98=0,0,NSTonghop!AQ98)</f>
        <v>0</v>
      </c>
      <c r="AK98" s="241">
        <f>IF($E98=0,0,NSTonghop!AT98)</f>
        <v>0</v>
      </c>
      <c r="AL98" s="212"/>
    </row>
    <row r="99" spans="1:38" hidden="1" x14ac:dyDescent="0.25">
      <c r="A99" s="220"/>
      <c r="B99" s="162">
        <f>IF(E99=0,0,MAX($B$8:B98)+1)</f>
        <v>0</v>
      </c>
      <c r="C99" s="191"/>
      <c r="D99" s="162">
        <f>IF(NSTonghop!AO99="",0,NSTonghop!E99)</f>
        <v>0</v>
      </c>
      <c r="E99" s="162">
        <f>IF(NSTonghop!AO99="",0,NSTonghop!F99)</f>
        <v>0</v>
      </c>
      <c r="F99" s="123">
        <f>IF($E99=0,0,NSTonghop!G99)</f>
        <v>0</v>
      </c>
      <c r="G99" s="123">
        <f>IF($E99=0,0,NSTonghop!H99)</f>
        <v>0</v>
      </c>
      <c r="H99" s="123">
        <f>IF($E99=0,0,NSTonghop!I99)</f>
        <v>0</v>
      </c>
      <c r="I99" s="125">
        <f t="shared" si="2"/>
        <v>0</v>
      </c>
      <c r="J99" s="125">
        <f t="shared" si="3"/>
        <v>0</v>
      </c>
      <c r="K99" s="123">
        <f>IF($E99=0,0,NSTonghop!L99)</f>
        <v>0</v>
      </c>
      <c r="L99" s="123">
        <f>IF($E99=0,0,NSTonghop!M99)</f>
        <v>0</v>
      </c>
      <c r="M99" s="123">
        <f>IF($E99=0,0,NSTonghop!N99)</f>
        <v>0</v>
      </c>
      <c r="N99" s="123">
        <f>IF($E99=0,0,NSTonghop!O99)</f>
        <v>0</v>
      </c>
      <c r="O99" s="123">
        <f>IF($E99=0,0,NSTonghop!P99)</f>
        <v>0</v>
      </c>
      <c r="P99" s="123">
        <f>IF($E99=0,0,NSTonghop!Q99)</f>
        <v>0</v>
      </c>
      <c r="Q99" s="123">
        <f>IF($E99=0,0,NSTonghop!R99)</f>
        <v>0</v>
      </c>
      <c r="R99" s="123">
        <f>IF($E99=0,0,NSTonghop!S99)</f>
        <v>0</v>
      </c>
      <c r="S99" s="123">
        <f>IF($E99=0,0,NSTonghop!T99)</f>
        <v>0</v>
      </c>
      <c r="T99" s="123">
        <f>IF($E99=0,0,NSTonghop!U99)</f>
        <v>0</v>
      </c>
      <c r="U99" s="123">
        <f>IF($E99=0,0,NSTonghop!V99)</f>
        <v>0</v>
      </c>
      <c r="V99" s="123">
        <f>IF($E99=0,0,NSTonghop!W99)</f>
        <v>0</v>
      </c>
      <c r="W99" s="241">
        <f>IF($E99=0,0,NSTonghop!Z99)</f>
        <v>0</v>
      </c>
      <c r="X99" s="241">
        <f>IF($E99=0,0,NSTonghop!AA99)</f>
        <v>0</v>
      </c>
      <c r="Y99" s="241">
        <f>IF($E99=0,0,NSTonghop!AB99)</f>
        <v>0</v>
      </c>
      <c r="Z99" s="241">
        <f>IF($E99=0,0,NSTonghop!AC99)</f>
        <v>0</v>
      </c>
      <c r="AA99" s="241">
        <f>IF($E99=0,0,NSTonghop!AD99)</f>
        <v>0</v>
      </c>
      <c r="AB99" s="241">
        <f>IF($E99=0,0,NSTonghop!AE99)</f>
        <v>0</v>
      </c>
      <c r="AC99" s="241">
        <f>IF($E99=0,0,NSTonghop!AF99)</f>
        <v>0</v>
      </c>
      <c r="AD99" s="241">
        <f>IF($E99=0,0,NSTonghop!AH99)</f>
        <v>0</v>
      </c>
      <c r="AE99" s="241">
        <f>IF($E99=0,0,NSTonghop!AJ99)</f>
        <v>0</v>
      </c>
      <c r="AF99" s="241">
        <f>IF($E99=0,0,NSTonghop!AK99)</f>
        <v>0</v>
      </c>
      <c r="AG99" s="241">
        <f>IF($E99=0,0,NSTonghop!AL99)</f>
        <v>0</v>
      </c>
      <c r="AH99" s="241">
        <f>IF($E99=0,0,NSTonghop!AO99)</f>
        <v>0</v>
      </c>
      <c r="AI99" s="241">
        <f>IF($E99=0,0,NSTonghop!AP99)</f>
        <v>0</v>
      </c>
      <c r="AJ99" s="241">
        <f>IF($E99=0,0,NSTonghop!AQ99)</f>
        <v>0</v>
      </c>
      <c r="AK99" s="241">
        <f>IF($E99=0,0,NSTonghop!AT99)</f>
        <v>0</v>
      </c>
      <c r="AL99" s="212"/>
    </row>
    <row r="100" spans="1:38" hidden="1" x14ac:dyDescent="0.25">
      <c r="A100" s="220"/>
      <c r="B100" s="162">
        <f>IF(E100=0,0,MAX($B$8:B99)+1)</f>
        <v>0</v>
      </c>
      <c r="C100" s="191"/>
      <c r="D100" s="162">
        <f>IF(NSTonghop!AO100="",0,NSTonghop!E100)</f>
        <v>0</v>
      </c>
      <c r="E100" s="162">
        <f>IF(NSTonghop!AO100="",0,NSTonghop!F100)</f>
        <v>0</v>
      </c>
      <c r="F100" s="123">
        <f>IF($E100=0,0,NSTonghop!G100)</f>
        <v>0</v>
      </c>
      <c r="G100" s="123">
        <f>IF($E100=0,0,NSTonghop!H100)</f>
        <v>0</v>
      </c>
      <c r="H100" s="123">
        <f>IF($E100=0,0,NSTonghop!I100)</f>
        <v>0</v>
      </c>
      <c r="I100" s="125">
        <f t="shared" si="2"/>
        <v>0</v>
      </c>
      <c r="J100" s="125">
        <f t="shared" si="3"/>
        <v>0</v>
      </c>
      <c r="K100" s="123">
        <f>IF($E100=0,0,NSTonghop!L100)</f>
        <v>0</v>
      </c>
      <c r="L100" s="123">
        <f>IF($E100=0,0,NSTonghop!M100)</f>
        <v>0</v>
      </c>
      <c r="M100" s="123">
        <f>IF($E100=0,0,NSTonghop!N100)</f>
        <v>0</v>
      </c>
      <c r="N100" s="123">
        <f>IF($E100=0,0,NSTonghop!O100)</f>
        <v>0</v>
      </c>
      <c r="O100" s="123">
        <f>IF($E100=0,0,NSTonghop!P100)</f>
        <v>0</v>
      </c>
      <c r="P100" s="123">
        <f>IF($E100=0,0,NSTonghop!Q100)</f>
        <v>0</v>
      </c>
      <c r="Q100" s="123">
        <f>IF($E100=0,0,NSTonghop!R100)</f>
        <v>0</v>
      </c>
      <c r="R100" s="123">
        <f>IF($E100=0,0,NSTonghop!S100)</f>
        <v>0</v>
      </c>
      <c r="S100" s="123">
        <f>IF($E100=0,0,NSTonghop!T100)</f>
        <v>0</v>
      </c>
      <c r="T100" s="123">
        <f>IF($E100=0,0,NSTonghop!U100)</f>
        <v>0</v>
      </c>
      <c r="U100" s="123">
        <f>IF($E100=0,0,NSTonghop!V100)</f>
        <v>0</v>
      </c>
      <c r="V100" s="123">
        <f>IF($E100=0,0,NSTonghop!W100)</f>
        <v>0</v>
      </c>
      <c r="W100" s="241">
        <f>IF($E100=0,0,NSTonghop!Z100)</f>
        <v>0</v>
      </c>
      <c r="X100" s="241">
        <f>IF($E100=0,0,NSTonghop!AA100)</f>
        <v>0</v>
      </c>
      <c r="Y100" s="241">
        <f>IF($E100=0,0,NSTonghop!AB100)</f>
        <v>0</v>
      </c>
      <c r="Z100" s="241">
        <f>IF($E100=0,0,NSTonghop!AC100)</f>
        <v>0</v>
      </c>
      <c r="AA100" s="241">
        <f>IF($E100=0,0,NSTonghop!AD100)</f>
        <v>0</v>
      </c>
      <c r="AB100" s="241">
        <f>IF($E100=0,0,NSTonghop!AE100)</f>
        <v>0</v>
      </c>
      <c r="AC100" s="241">
        <f>IF($E100=0,0,NSTonghop!AF100)</f>
        <v>0</v>
      </c>
      <c r="AD100" s="241">
        <f>IF($E100=0,0,NSTonghop!AH100)</f>
        <v>0</v>
      </c>
      <c r="AE100" s="241">
        <f>IF($E100=0,0,NSTonghop!AJ100)</f>
        <v>0</v>
      </c>
      <c r="AF100" s="241">
        <f>IF($E100=0,0,NSTonghop!AK100)</f>
        <v>0</v>
      </c>
      <c r="AG100" s="241">
        <f>IF($E100=0,0,NSTonghop!AL100)</f>
        <v>0</v>
      </c>
      <c r="AH100" s="241">
        <f>IF($E100=0,0,NSTonghop!AO100)</f>
        <v>0</v>
      </c>
      <c r="AI100" s="241">
        <f>IF($E100=0,0,NSTonghop!AP100)</f>
        <v>0</v>
      </c>
      <c r="AJ100" s="241">
        <f>IF($E100=0,0,NSTonghop!AQ100)</f>
        <v>0</v>
      </c>
      <c r="AK100" s="241">
        <f>IF($E100=0,0,NSTonghop!AT100)</f>
        <v>0</v>
      </c>
      <c r="AL100" s="212"/>
    </row>
    <row r="101" spans="1:38" hidden="1" x14ac:dyDescent="0.25">
      <c r="A101" s="220"/>
      <c r="B101" s="162">
        <f>IF(E101=0,0,MAX($B$8:B100)+1)</f>
        <v>0</v>
      </c>
      <c r="C101" s="191"/>
      <c r="D101" s="162">
        <f>IF(NSTonghop!AO101="",0,NSTonghop!E101)</f>
        <v>0</v>
      </c>
      <c r="E101" s="162">
        <f>IF(NSTonghop!AO101="",0,NSTonghop!F101)</f>
        <v>0</v>
      </c>
      <c r="F101" s="123">
        <f>IF($E101=0,0,NSTonghop!G101)</f>
        <v>0</v>
      </c>
      <c r="G101" s="123">
        <f>IF($E101=0,0,NSTonghop!H101)</f>
        <v>0</v>
      </c>
      <c r="H101" s="123">
        <f>IF($E101=0,0,NSTonghop!I101)</f>
        <v>0</v>
      </c>
      <c r="I101" s="125">
        <f t="shared" si="2"/>
        <v>0</v>
      </c>
      <c r="J101" s="125">
        <f t="shared" si="3"/>
        <v>0</v>
      </c>
      <c r="K101" s="123">
        <f>IF($E101=0,0,NSTonghop!L101)</f>
        <v>0</v>
      </c>
      <c r="L101" s="123">
        <f>IF($E101=0,0,NSTonghop!M101)</f>
        <v>0</v>
      </c>
      <c r="M101" s="123">
        <f>IF($E101=0,0,NSTonghop!N101)</f>
        <v>0</v>
      </c>
      <c r="N101" s="123">
        <f>IF($E101=0,0,NSTonghop!O101)</f>
        <v>0</v>
      </c>
      <c r="O101" s="123">
        <f>IF($E101=0,0,NSTonghop!P101)</f>
        <v>0</v>
      </c>
      <c r="P101" s="123">
        <f>IF($E101=0,0,NSTonghop!Q101)</f>
        <v>0</v>
      </c>
      <c r="Q101" s="123">
        <f>IF($E101=0,0,NSTonghop!R101)</f>
        <v>0</v>
      </c>
      <c r="R101" s="123">
        <f>IF($E101=0,0,NSTonghop!S101)</f>
        <v>0</v>
      </c>
      <c r="S101" s="123">
        <f>IF($E101=0,0,NSTonghop!T101)</f>
        <v>0</v>
      </c>
      <c r="T101" s="123">
        <f>IF($E101=0,0,NSTonghop!U101)</f>
        <v>0</v>
      </c>
      <c r="U101" s="123">
        <f>IF($E101=0,0,NSTonghop!V101)</f>
        <v>0</v>
      </c>
      <c r="V101" s="123">
        <f>IF($E101=0,0,NSTonghop!W101)</f>
        <v>0</v>
      </c>
      <c r="W101" s="241">
        <f>IF($E101=0,0,NSTonghop!Z101)</f>
        <v>0</v>
      </c>
      <c r="X101" s="241">
        <f>IF($E101=0,0,NSTonghop!AA101)</f>
        <v>0</v>
      </c>
      <c r="Y101" s="241">
        <f>IF($E101=0,0,NSTonghop!AB101)</f>
        <v>0</v>
      </c>
      <c r="Z101" s="241">
        <f>IF($E101=0,0,NSTonghop!AC101)</f>
        <v>0</v>
      </c>
      <c r="AA101" s="241">
        <f>IF($E101=0,0,NSTonghop!AD101)</f>
        <v>0</v>
      </c>
      <c r="AB101" s="241">
        <f>IF($E101=0,0,NSTonghop!AE101)</f>
        <v>0</v>
      </c>
      <c r="AC101" s="241">
        <f>IF($E101=0,0,NSTonghop!AF101)</f>
        <v>0</v>
      </c>
      <c r="AD101" s="241">
        <f>IF($E101=0,0,NSTonghop!AH101)</f>
        <v>0</v>
      </c>
      <c r="AE101" s="241">
        <f>IF($E101=0,0,NSTonghop!AJ101)</f>
        <v>0</v>
      </c>
      <c r="AF101" s="241">
        <f>IF($E101=0,0,NSTonghop!AK101)</f>
        <v>0</v>
      </c>
      <c r="AG101" s="241">
        <f>IF($E101=0,0,NSTonghop!AL101)</f>
        <v>0</v>
      </c>
      <c r="AH101" s="241">
        <f>IF($E101=0,0,NSTonghop!AO101)</f>
        <v>0</v>
      </c>
      <c r="AI101" s="241">
        <f>IF($E101=0,0,NSTonghop!AP101)</f>
        <v>0</v>
      </c>
      <c r="AJ101" s="241">
        <f>IF($E101=0,0,NSTonghop!AQ101)</f>
        <v>0</v>
      </c>
      <c r="AK101" s="241">
        <f>IF($E101=0,0,NSTonghop!AT101)</f>
        <v>0</v>
      </c>
      <c r="AL101" s="212"/>
    </row>
    <row r="102" spans="1:38" hidden="1" x14ac:dyDescent="0.25">
      <c r="A102" s="220"/>
      <c r="B102" s="162">
        <f>IF(E102=0,0,MAX($B$8:B101)+1)</f>
        <v>0</v>
      </c>
      <c r="C102" s="191"/>
      <c r="D102" s="162">
        <f>IF(NSTonghop!AO102="",0,NSTonghop!E102)</f>
        <v>0</v>
      </c>
      <c r="E102" s="162">
        <f>IF(NSTonghop!AO102="",0,NSTonghop!F102)</f>
        <v>0</v>
      </c>
      <c r="F102" s="123">
        <f>IF($E102=0,0,NSTonghop!G102)</f>
        <v>0</v>
      </c>
      <c r="G102" s="123">
        <f>IF($E102=0,0,NSTonghop!H102)</f>
        <v>0</v>
      </c>
      <c r="H102" s="123">
        <f>IF($E102=0,0,NSTonghop!I102)</f>
        <v>0</v>
      </c>
      <c r="I102" s="125">
        <f t="shared" si="2"/>
        <v>0</v>
      </c>
      <c r="J102" s="125">
        <f t="shared" si="3"/>
        <v>0</v>
      </c>
      <c r="K102" s="123">
        <f>IF($E102=0,0,NSTonghop!L102)</f>
        <v>0</v>
      </c>
      <c r="L102" s="123">
        <f>IF($E102=0,0,NSTonghop!M102)</f>
        <v>0</v>
      </c>
      <c r="M102" s="123">
        <f>IF($E102=0,0,NSTonghop!N102)</f>
        <v>0</v>
      </c>
      <c r="N102" s="123">
        <f>IF($E102=0,0,NSTonghop!O102)</f>
        <v>0</v>
      </c>
      <c r="O102" s="123">
        <f>IF($E102=0,0,NSTonghop!P102)</f>
        <v>0</v>
      </c>
      <c r="P102" s="123">
        <f>IF($E102=0,0,NSTonghop!Q102)</f>
        <v>0</v>
      </c>
      <c r="Q102" s="123">
        <f>IF($E102=0,0,NSTonghop!R102)</f>
        <v>0</v>
      </c>
      <c r="R102" s="123">
        <f>IF($E102=0,0,NSTonghop!S102)</f>
        <v>0</v>
      </c>
      <c r="S102" s="123">
        <f>IF($E102=0,0,NSTonghop!T102)</f>
        <v>0</v>
      </c>
      <c r="T102" s="123">
        <f>IF($E102=0,0,NSTonghop!U102)</f>
        <v>0</v>
      </c>
      <c r="U102" s="123">
        <f>IF($E102=0,0,NSTonghop!V102)</f>
        <v>0</v>
      </c>
      <c r="V102" s="123">
        <f>IF($E102=0,0,NSTonghop!W102)</f>
        <v>0</v>
      </c>
      <c r="W102" s="241">
        <f>IF($E102=0,0,NSTonghop!Z102)</f>
        <v>0</v>
      </c>
      <c r="X102" s="241">
        <f>IF($E102=0,0,NSTonghop!AA102)</f>
        <v>0</v>
      </c>
      <c r="Y102" s="241">
        <f>IF($E102=0,0,NSTonghop!AB102)</f>
        <v>0</v>
      </c>
      <c r="Z102" s="241">
        <f>IF($E102=0,0,NSTonghop!AC102)</f>
        <v>0</v>
      </c>
      <c r="AA102" s="241">
        <f>IF($E102=0,0,NSTonghop!AD102)</f>
        <v>0</v>
      </c>
      <c r="AB102" s="241">
        <f>IF($E102=0,0,NSTonghop!AE102)</f>
        <v>0</v>
      </c>
      <c r="AC102" s="241">
        <f>IF($E102=0,0,NSTonghop!AF102)</f>
        <v>0</v>
      </c>
      <c r="AD102" s="241">
        <f>IF($E102=0,0,NSTonghop!AH102)</f>
        <v>0</v>
      </c>
      <c r="AE102" s="241">
        <f>IF($E102=0,0,NSTonghop!AJ102)</f>
        <v>0</v>
      </c>
      <c r="AF102" s="241">
        <f>IF($E102=0,0,NSTonghop!AK102)</f>
        <v>0</v>
      </c>
      <c r="AG102" s="241">
        <f>IF($E102=0,0,NSTonghop!AL102)</f>
        <v>0</v>
      </c>
      <c r="AH102" s="241">
        <f>IF($E102=0,0,NSTonghop!AO102)</f>
        <v>0</v>
      </c>
      <c r="AI102" s="241">
        <f>IF($E102=0,0,NSTonghop!AP102)</f>
        <v>0</v>
      </c>
      <c r="AJ102" s="241">
        <f>IF($E102=0,0,NSTonghop!AQ102)</f>
        <v>0</v>
      </c>
      <c r="AK102" s="241">
        <f>IF($E102=0,0,NSTonghop!AT102)</f>
        <v>0</v>
      </c>
      <c r="AL102" s="212"/>
    </row>
    <row r="103" spans="1:38" hidden="1" x14ac:dyDescent="0.25">
      <c r="A103" s="220"/>
      <c r="B103" s="162">
        <f>IF(E103=0,0,MAX($B$8:B102)+1)</f>
        <v>0</v>
      </c>
      <c r="C103" s="191"/>
      <c r="D103" s="162">
        <f>IF(NSTonghop!AO103="",0,NSTonghop!E103)</f>
        <v>0</v>
      </c>
      <c r="E103" s="162">
        <f>IF(NSTonghop!AO103="",0,NSTonghop!F103)</f>
        <v>0</v>
      </c>
      <c r="F103" s="123">
        <f>IF($E103=0,0,NSTonghop!G103)</f>
        <v>0</v>
      </c>
      <c r="G103" s="123">
        <f>IF($E103=0,0,NSTonghop!H103)</f>
        <v>0</v>
      </c>
      <c r="H103" s="123">
        <f>IF($E103=0,0,NSTonghop!I103)</f>
        <v>0</v>
      </c>
      <c r="I103" s="125">
        <f t="shared" si="2"/>
        <v>0</v>
      </c>
      <c r="J103" s="125">
        <f t="shared" si="3"/>
        <v>0</v>
      </c>
      <c r="K103" s="123">
        <f>IF($E103=0,0,NSTonghop!L103)</f>
        <v>0</v>
      </c>
      <c r="L103" s="123">
        <f>IF($E103=0,0,NSTonghop!M103)</f>
        <v>0</v>
      </c>
      <c r="M103" s="123">
        <f>IF($E103=0,0,NSTonghop!N103)</f>
        <v>0</v>
      </c>
      <c r="N103" s="123">
        <f>IF($E103=0,0,NSTonghop!O103)</f>
        <v>0</v>
      </c>
      <c r="O103" s="123">
        <f>IF($E103=0,0,NSTonghop!P103)</f>
        <v>0</v>
      </c>
      <c r="P103" s="123">
        <f>IF($E103=0,0,NSTonghop!Q103)</f>
        <v>0</v>
      </c>
      <c r="Q103" s="123">
        <f>IF($E103=0,0,NSTonghop!R103)</f>
        <v>0</v>
      </c>
      <c r="R103" s="123">
        <f>IF($E103=0,0,NSTonghop!S103)</f>
        <v>0</v>
      </c>
      <c r="S103" s="123">
        <f>IF($E103=0,0,NSTonghop!T103)</f>
        <v>0</v>
      </c>
      <c r="T103" s="123">
        <f>IF($E103=0,0,NSTonghop!U103)</f>
        <v>0</v>
      </c>
      <c r="U103" s="123">
        <f>IF($E103=0,0,NSTonghop!V103)</f>
        <v>0</v>
      </c>
      <c r="V103" s="123">
        <f>IF($E103=0,0,NSTonghop!W103)</f>
        <v>0</v>
      </c>
      <c r="W103" s="241">
        <f>IF($E103=0,0,NSTonghop!Z103)</f>
        <v>0</v>
      </c>
      <c r="X103" s="241">
        <f>IF($E103=0,0,NSTonghop!AA103)</f>
        <v>0</v>
      </c>
      <c r="Y103" s="241">
        <f>IF($E103=0,0,NSTonghop!AB103)</f>
        <v>0</v>
      </c>
      <c r="Z103" s="241">
        <f>IF($E103=0,0,NSTonghop!AC103)</f>
        <v>0</v>
      </c>
      <c r="AA103" s="241">
        <f>IF($E103=0,0,NSTonghop!AD103)</f>
        <v>0</v>
      </c>
      <c r="AB103" s="241">
        <f>IF($E103=0,0,NSTonghop!AE103)</f>
        <v>0</v>
      </c>
      <c r="AC103" s="241">
        <f>IF($E103=0,0,NSTonghop!AF103)</f>
        <v>0</v>
      </c>
      <c r="AD103" s="241">
        <f>IF($E103=0,0,NSTonghop!AH103)</f>
        <v>0</v>
      </c>
      <c r="AE103" s="241">
        <f>IF($E103=0,0,NSTonghop!AJ103)</f>
        <v>0</v>
      </c>
      <c r="AF103" s="241">
        <f>IF($E103=0,0,NSTonghop!AK103)</f>
        <v>0</v>
      </c>
      <c r="AG103" s="241">
        <f>IF($E103=0,0,NSTonghop!AL103)</f>
        <v>0</v>
      </c>
      <c r="AH103" s="241">
        <f>IF($E103=0,0,NSTonghop!AO103)</f>
        <v>0</v>
      </c>
      <c r="AI103" s="241">
        <f>IF($E103=0,0,NSTonghop!AP103)</f>
        <v>0</v>
      </c>
      <c r="AJ103" s="241">
        <f>IF($E103=0,0,NSTonghop!AQ103)</f>
        <v>0</v>
      </c>
      <c r="AK103" s="241">
        <f>IF($E103=0,0,NSTonghop!AT103)</f>
        <v>0</v>
      </c>
      <c r="AL103" s="212"/>
    </row>
    <row r="104" spans="1:38" hidden="1" x14ac:dyDescent="0.25">
      <c r="A104" s="220"/>
      <c r="B104" s="162">
        <f>IF(E104=0,0,MAX($B$8:B103)+1)</f>
        <v>0</v>
      </c>
      <c r="C104" s="191"/>
      <c r="D104" s="162">
        <f>IF(NSTonghop!AO104="",0,NSTonghop!E104)</f>
        <v>0</v>
      </c>
      <c r="E104" s="162">
        <f>IF(NSTonghop!AO104="",0,NSTonghop!F104)</f>
        <v>0</v>
      </c>
      <c r="F104" s="123">
        <f>IF($E104=0,0,NSTonghop!G104)</f>
        <v>0</v>
      </c>
      <c r="G104" s="123">
        <f>IF($E104=0,0,NSTonghop!H104)</f>
        <v>0</v>
      </c>
      <c r="H104" s="123">
        <f>IF($E104=0,0,NSTonghop!I104)</f>
        <v>0</v>
      </c>
      <c r="I104" s="125">
        <f t="shared" si="2"/>
        <v>0</v>
      </c>
      <c r="J104" s="125">
        <f t="shared" si="3"/>
        <v>0</v>
      </c>
      <c r="K104" s="123">
        <f>IF($E104=0,0,NSTonghop!L104)</f>
        <v>0</v>
      </c>
      <c r="L104" s="123">
        <f>IF($E104=0,0,NSTonghop!M104)</f>
        <v>0</v>
      </c>
      <c r="M104" s="123">
        <f>IF($E104=0,0,NSTonghop!N104)</f>
        <v>0</v>
      </c>
      <c r="N104" s="123">
        <f>IF($E104=0,0,NSTonghop!O104)</f>
        <v>0</v>
      </c>
      <c r="O104" s="123">
        <f>IF($E104=0,0,NSTonghop!P104)</f>
        <v>0</v>
      </c>
      <c r="P104" s="123">
        <f>IF($E104=0,0,NSTonghop!Q104)</f>
        <v>0</v>
      </c>
      <c r="Q104" s="123">
        <f>IF($E104=0,0,NSTonghop!R104)</f>
        <v>0</v>
      </c>
      <c r="R104" s="123">
        <f>IF($E104=0,0,NSTonghop!S104)</f>
        <v>0</v>
      </c>
      <c r="S104" s="123">
        <f>IF($E104=0,0,NSTonghop!T104)</f>
        <v>0</v>
      </c>
      <c r="T104" s="123">
        <f>IF($E104=0,0,NSTonghop!U104)</f>
        <v>0</v>
      </c>
      <c r="U104" s="123">
        <f>IF($E104=0,0,NSTonghop!V104)</f>
        <v>0</v>
      </c>
      <c r="V104" s="123">
        <f>IF($E104=0,0,NSTonghop!W104)</f>
        <v>0</v>
      </c>
      <c r="W104" s="241">
        <f>IF($E104=0,0,NSTonghop!Z104)</f>
        <v>0</v>
      </c>
      <c r="X104" s="241">
        <f>IF($E104=0,0,NSTonghop!AA104)</f>
        <v>0</v>
      </c>
      <c r="Y104" s="241">
        <f>IF($E104=0,0,NSTonghop!AB104)</f>
        <v>0</v>
      </c>
      <c r="Z104" s="241">
        <f>IF($E104=0,0,NSTonghop!AC104)</f>
        <v>0</v>
      </c>
      <c r="AA104" s="241">
        <f>IF($E104=0,0,NSTonghop!AD104)</f>
        <v>0</v>
      </c>
      <c r="AB104" s="241">
        <f>IF($E104=0,0,NSTonghop!AE104)</f>
        <v>0</v>
      </c>
      <c r="AC104" s="241">
        <f>IF($E104=0,0,NSTonghop!AF104)</f>
        <v>0</v>
      </c>
      <c r="AD104" s="241">
        <f>IF($E104=0,0,NSTonghop!AH104)</f>
        <v>0</v>
      </c>
      <c r="AE104" s="241">
        <f>IF($E104=0,0,NSTonghop!AJ104)</f>
        <v>0</v>
      </c>
      <c r="AF104" s="241">
        <f>IF($E104=0,0,NSTonghop!AK104)</f>
        <v>0</v>
      </c>
      <c r="AG104" s="241">
        <f>IF($E104=0,0,NSTonghop!AL104)</f>
        <v>0</v>
      </c>
      <c r="AH104" s="241">
        <f>IF($E104=0,0,NSTonghop!AO104)</f>
        <v>0</v>
      </c>
      <c r="AI104" s="241">
        <f>IF($E104=0,0,NSTonghop!AP104)</f>
        <v>0</v>
      </c>
      <c r="AJ104" s="241">
        <f>IF($E104=0,0,NSTonghop!AQ104)</f>
        <v>0</v>
      </c>
      <c r="AK104" s="241">
        <f>IF($E104=0,0,NSTonghop!AT104)</f>
        <v>0</v>
      </c>
      <c r="AL104" s="212"/>
    </row>
    <row r="105" spans="1:38" hidden="1" x14ac:dyDescent="0.25">
      <c r="A105" s="220"/>
      <c r="B105" s="162">
        <f>IF(E105=0,0,MAX($B$8:B104)+1)</f>
        <v>0</v>
      </c>
      <c r="C105" s="191"/>
      <c r="D105" s="162">
        <f>IF(NSTonghop!AO105="",0,NSTonghop!E105)</f>
        <v>0</v>
      </c>
      <c r="E105" s="162">
        <f>IF(NSTonghop!AO105="",0,NSTonghop!F105)</f>
        <v>0</v>
      </c>
      <c r="F105" s="123">
        <f>IF($E105=0,0,NSTonghop!G105)</f>
        <v>0</v>
      </c>
      <c r="G105" s="123">
        <f>IF($E105=0,0,NSTonghop!H105)</f>
        <v>0</v>
      </c>
      <c r="H105" s="123">
        <f>IF($E105=0,0,NSTonghop!I105)</f>
        <v>0</v>
      </c>
      <c r="I105" s="125">
        <f t="shared" si="2"/>
        <v>0</v>
      </c>
      <c r="J105" s="125">
        <f t="shared" si="3"/>
        <v>0</v>
      </c>
      <c r="K105" s="123">
        <f>IF($E105=0,0,NSTonghop!L105)</f>
        <v>0</v>
      </c>
      <c r="L105" s="123">
        <f>IF($E105=0,0,NSTonghop!M105)</f>
        <v>0</v>
      </c>
      <c r="M105" s="123">
        <f>IF($E105=0,0,NSTonghop!N105)</f>
        <v>0</v>
      </c>
      <c r="N105" s="123">
        <f>IF($E105=0,0,NSTonghop!O105)</f>
        <v>0</v>
      </c>
      <c r="O105" s="123">
        <f>IF($E105=0,0,NSTonghop!P105)</f>
        <v>0</v>
      </c>
      <c r="P105" s="123">
        <f>IF($E105=0,0,NSTonghop!Q105)</f>
        <v>0</v>
      </c>
      <c r="Q105" s="123">
        <f>IF($E105=0,0,NSTonghop!R105)</f>
        <v>0</v>
      </c>
      <c r="R105" s="123">
        <f>IF($E105=0,0,NSTonghop!S105)</f>
        <v>0</v>
      </c>
      <c r="S105" s="123">
        <f>IF($E105=0,0,NSTonghop!T105)</f>
        <v>0</v>
      </c>
      <c r="T105" s="123">
        <f>IF($E105=0,0,NSTonghop!U105)</f>
        <v>0</v>
      </c>
      <c r="U105" s="123">
        <f>IF($E105=0,0,NSTonghop!V105)</f>
        <v>0</v>
      </c>
      <c r="V105" s="123">
        <f>IF($E105=0,0,NSTonghop!W105)</f>
        <v>0</v>
      </c>
      <c r="W105" s="241">
        <f>IF($E105=0,0,NSTonghop!Z105)</f>
        <v>0</v>
      </c>
      <c r="X105" s="241">
        <f>IF($E105=0,0,NSTonghop!AA105)</f>
        <v>0</v>
      </c>
      <c r="Y105" s="241">
        <f>IF($E105=0,0,NSTonghop!AB105)</f>
        <v>0</v>
      </c>
      <c r="Z105" s="241">
        <f>IF($E105=0,0,NSTonghop!AC105)</f>
        <v>0</v>
      </c>
      <c r="AA105" s="241">
        <f>IF($E105=0,0,NSTonghop!AD105)</f>
        <v>0</v>
      </c>
      <c r="AB105" s="241">
        <f>IF($E105=0,0,NSTonghop!AE105)</f>
        <v>0</v>
      </c>
      <c r="AC105" s="241">
        <f>IF($E105=0,0,NSTonghop!AF105)</f>
        <v>0</v>
      </c>
      <c r="AD105" s="241">
        <f>IF($E105=0,0,NSTonghop!AH105)</f>
        <v>0</v>
      </c>
      <c r="AE105" s="241">
        <f>IF($E105=0,0,NSTonghop!AJ105)</f>
        <v>0</v>
      </c>
      <c r="AF105" s="241">
        <f>IF($E105=0,0,NSTonghop!AK105)</f>
        <v>0</v>
      </c>
      <c r="AG105" s="241">
        <f>IF($E105=0,0,NSTonghop!AL105)</f>
        <v>0</v>
      </c>
      <c r="AH105" s="241">
        <f>IF($E105=0,0,NSTonghop!AO105)</f>
        <v>0</v>
      </c>
      <c r="AI105" s="241">
        <f>IF($E105=0,0,NSTonghop!AP105)</f>
        <v>0</v>
      </c>
      <c r="AJ105" s="241">
        <f>IF($E105=0,0,NSTonghop!AQ105)</f>
        <v>0</v>
      </c>
      <c r="AK105" s="241">
        <f>IF($E105=0,0,NSTonghop!AT105)</f>
        <v>0</v>
      </c>
      <c r="AL105" s="212"/>
    </row>
    <row r="106" spans="1:38" hidden="1" x14ac:dyDescent="0.25">
      <c r="A106" s="220"/>
      <c r="B106" s="244">
        <f>IF(E106=0,0,MAX($B$8:B105)+1)</f>
        <v>0</v>
      </c>
      <c r="C106" s="245"/>
      <c r="D106" s="244">
        <f>IF(NSTonghop!AO106="",0,NSTonghop!E106)</f>
        <v>0</v>
      </c>
      <c r="E106" s="244">
        <f>IF(NSTonghop!AO106="",0,NSTonghop!F106)</f>
        <v>0</v>
      </c>
      <c r="F106" s="247">
        <f>IF($E106=0,0,NSTonghop!G106)</f>
        <v>0</v>
      </c>
      <c r="G106" s="247">
        <f>IF($E106=0,0,NSTonghop!H106)</f>
        <v>0</v>
      </c>
      <c r="H106" s="247">
        <f>IF($E106=0,0,NSTonghop!I106)</f>
        <v>0</v>
      </c>
      <c r="I106" s="248">
        <f t="shared" si="2"/>
        <v>0</v>
      </c>
      <c r="J106" s="248">
        <f t="shared" si="3"/>
        <v>0</v>
      </c>
      <c r="K106" s="247">
        <f>IF($E106=0,0,NSTonghop!L106)</f>
        <v>0</v>
      </c>
      <c r="L106" s="247">
        <f>IF($E106=0,0,NSTonghop!M106)</f>
        <v>0</v>
      </c>
      <c r="M106" s="247">
        <f>IF($E106=0,0,NSTonghop!N106)</f>
        <v>0</v>
      </c>
      <c r="N106" s="247">
        <f>IF($E106=0,0,NSTonghop!O106)</f>
        <v>0</v>
      </c>
      <c r="O106" s="247">
        <f>IF($E106=0,0,NSTonghop!P106)</f>
        <v>0</v>
      </c>
      <c r="P106" s="247">
        <f>IF($E106=0,0,NSTonghop!Q106)</f>
        <v>0</v>
      </c>
      <c r="Q106" s="247">
        <f>IF($E106=0,0,NSTonghop!R106)</f>
        <v>0</v>
      </c>
      <c r="R106" s="247">
        <f>IF($E106=0,0,NSTonghop!S106)</f>
        <v>0</v>
      </c>
      <c r="S106" s="247">
        <f>IF($E106=0,0,NSTonghop!T106)</f>
        <v>0</v>
      </c>
      <c r="T106" s="247">
        <f>IF($E106=0,0,NSTonghop!U106)</f>
        <v>0</v>
      </c>
      <c r="U106" s="247">
        <f>IF($E106=0,0,NSTonghop!V106)</f>
        <v>0</v>
      </c>
      <c r="V106" s="247">
        <f>IF($E106=0,0,NSTonghop!W106)</f>
        <v>0</v>
      </c>
      <c r="W106" s="249">
        <f>IF($E106=0,0,NSTonghop!Z106)</f>
        <v>0</v>
      </c>
      <c r="X106" s="249">
        <f>IF($E106=0,0,NSTonghop!AA106)</f>
        <v>0</v>
      </c>
      <c r="Y106" s="249">
        <f>IF($E106=0,0,NSTonghop!AB106)</f>
        <v>0</v>
      </c>
      <c r="Z106" s="249">
        <f>IF($E106=0,0,NSTonghop!AC106)</f>
        <v>0</v>
      </c>
      <c r="AA106" s="249">
        <f>IF($E106=0,0,NSTonghop!AD106)</f>
        <v>0</v>
      </c>
      <c r="AB106" s="249">
        <f>IF($E106=0,0,NSTonghop!AE106)</f>
        <v>0</v>
      </c>
      <c r="AC106" s="249">
        <f>IF($E106=0,0,NSTonghop!AF106)</f>
        <v>0</v>
      </c>
      <c r="AD106" s="249">
        <f>IF($E106=0,0,NSTonghop!AH106)</f>
        <v>0</v>
      </c>
      <c r="AE106" s="249">
        <f>IF($E106=0,0,NSTonghop!AJ106)</f>
        <v>0</v>
      </c>
      <c r="AF106" s="249">
        <f>IF($E106=0,0,NSTonghop!AK106)</f>
        <v>0</v>
      </c>
      <c r="AG106" s="249">
        <f>IF($E106=0,0,NSTonghop!AL106)</f>
        <v>0</v>
      </c>
      <c r="AH106" s="249">
        <f>IF($E106=0,0,NSTonghop!AO106)</f>
        <v>0</v>
      </c>
      <c r="AI106" s="249">
        <f>IF($E106=0,0,NSTonghop!AP106)</f>
        <v>0</v>
      </c>
      <c r="AJ106" s="249">
        <f>IF($E106=0,0,NSTonghop!AQ106)</f>
        <v>0</v>
      </c>
      <c r="AK106" s="249">
        <f>IF($E106=0,0,NSTonghop!AT106)</f>
        <v>0</v>
      </c>
      <c r="AL106" s="212"/>
    </row>
    <row r="107" spans="1:38" x14ac:dyDescent="0.25">
      <c r="A107" s="220"/>
      <c r="B107" s="246"/>
      <c r="C107" s="246"/>
      <c r="D107" s="246"/>
      <c r="E107" s="246" t="s">
        <v>41</v>
      </c>
      <c r="F107" s="250">
        <f>COUNTIF(F8:F106,"x")</f>
        <v>23</v>
      </c>
      <c r="G107" s="250">
        <f>COUNTA(G8:G106)-COUNT(G8:G106)</f>
        <v>23</v>
      </c>
      <c r="H107" s="250">
        <f>COUNTA(H8:H106)-COUNT(H8:H106)</f>
        <v>23</v>
      </c>
      <c r="I107" s="251"/>
      <c r="J107" s="251"/>
      <c r="K107" s="250">
        <f>COUNTA(K8:K106)-COUNT(K8:K106)</f>
        <v>46</v>
      </c>
      <c r="L107" s="250"/>
      <c r="M107" s="250"/>
      <c r="N107" s="250"/>
      <c r="O107" s="250"/>
      <c r="P107" s="250"/>
      <c r="Q107" s="250"/>
      <c r="R107" s="250"/>
      <c r="S107" s="250"/>
      <c r="T107" s="250"/>
      <c r="U107" s="250"/>
      <c r="V107" s="250"/>
      <c r="W107" s="250"/>
      <c r="X107" s="250">
        <f>COUNTA(X8:X106)-COUNT(X8:X106)</f>
        <v>24</v>
      </c>
      <c r="Y107" s="250">
        <f>COUNTA(Y8:Y106)-COUNT(Y8:Y106)</f>
        <v>43</v>
      </c>
      <c r="Z107" s="250"/>
      <c r="AA107" s="250"/>
      <c r="AB107" s="250"/>
      <c r="AC107" s="250"/>
      <c r="AD107" s="250"/>
      <c r="AE107" s="250"/>
      <c r="AF107" s="250"/>
      <c r="AG107" s="250"/>
      <c r="AH107" s="250"/>
      <c r="AI107" s="250">
        <f>COUNTA(AI8:AI106)-COUNT(AI8:AI106)</f>
        <v>43</v>
      </c>
      <c r="AJ107" s="250"/>
      <c r="AK107" s="250"/>
      <c r="AL107" s="212"/>
    </row>
    <row r="108" spans="1:38" ht="7.5" customHeight="1" x14ac:dyDescent="0.25">
      <c r="A108" s="221"/>
      <c r="B108" s="222"/>
      <c r="C108" s="222"/>
      <c r="D108" s="222"/>
      <c r="E108" s="222"/>
      <c r="F108" s="222"/>
      <c r="G108" s="222"/>
      <c r="H108" s="222"/>
      <c r="I108" s="222"/>
      <c r="J108" s="222"/>
      <c r="K108" s="222"/>
      <c r="L108" s="222"/>
      <c r="M108" s="222"/>
      <c r="N108" s="222"/>
      <c r="O108" s="222"/>
      <c r="P108" s="222"/>
      <c r="Q108" s="222"/>
      <c r="R108" s="222"/>
      <c r="S108" s="222"/>
      <c r="T108" s="222"/>
      <c r="U108" s="222"/>
      <c r="V108" s="222"/>
      <c r="W108" s="222"/>
      <c r="X108" s="222"/>
      <c r="Y108" s="222"/>
      <c r="Z108" s="222"/>
      <c r="AA108" s="222"/>
      <c r="AB108" s="222"/>
      <c r="AC108" s="222"/>
      <c r="AD108" s="222"/>
      <c r="AE108" s="222"/>
      <c r="AF108" s="222"/>
      <c r="AG108" s="222"/>
      <c r="AH108" s="222"/>
      <c r="AI108" s="222"/>
      <c r="AJ108" s="222"/>
      <c r="AK108" s="222"/>
      <c r="AL108" s="223"/>
    </row>
    <row r="109" spans="1:38" x14ac:dyDescent="0.25">
      <c r="B109" s="115" t="str">
        <f>IF(E109="","",MAX($B108:B108)+1)</f>
        <v/>
      </c>
    </row>
  </sheetData>
  <autoFilter ref="B7:AK107">
    <filterColumn colId="3">
      <customFilters>
        <customFilter operator="notEqual" val=" "/>
      </customFilters>
    </filterColumn>
  </autoFilter>
  <dataConsolidate/>
  <mergeCells count="35">
    <mergeCell ref="N4:N6"/>
    <mergeCell ref="B4:B6"/>
    <mergeCell ref="C4:C6"/>
    <mergeCell ref="D4:D6"/>
    <mergeCell ref="E4:E6"/>
    <mergeCell ref="F4:F6"/>
    <mergeCell ref="G4:H5"/>
    <mergeCell ref="I4:J5"/>
    <mergeCell ref="K4:K6"/>
    <mergeCell ref="L4:L6"/>
    <mergeCell ref="M4:M6"/>
    <mergeCell ref="O4:O6"/>
    <mergeCell ref="P4:P6"/>
    <mergeCell ref="Q4:Q6"/>
    <mergeCell ref="R4:AC4"/>
    <mergeCell ref="AD4:AD6"/>
    <mergeCell ref="W5:W6"/>
    <mergeCell ref="AA5:AA6"/>
    <mergeCell ref="AB5:AB6"/>
    <mergeCell ref="AC5:AC6"/>
    <mergeCell ref="AE4:AF4"/>
    <mergeCell ref="AG4:AJ4"/>
    <mergeCell ref="AK4:AK6"/>
    <mergeCell ref="R5:R6"/>
    <mergeCell ref="S5:S6"/>
    <mergeCell ref="T5:T6"/>
    <mergeCell ref="U5:U6"/>
    <mergeCell ref="V5:V6"/>
    <mergeCell ref="AE5:AE6"/>
    <mergeCell ref="AF5:AF6"/>
    <mergeCell ref="AG5:AG6"/>
    <mergeCell ref="AH5:AJ5"/>
    <mergeCell ref="X5:X6"/>
    <mergeCell ref="Y5:Y6"/>
    <mergeCell ref="Z5:Z6"/>
  </mergeCells>
  <conditionalFormatting sqref="D8:H106 F107:H107 J8:AK107">
    <cfRule type="containsText" dxfId="8" priority="38" operator="containsText" text="x">
      <formula>NOT(ISERROR(SEARCH("x",D8)))</formula>
    </cfRule>
  </conditionalFormatting>
  <conditionalFormatting sqref="I8:I107">
    <cfRule type="containsText" dxfId="7" priority="1" operator="containsText" text="x">
      <formula>NOT(ISERROR(SEARCH("x",I8)))</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N109"/>
  <sheetViews>
    <sheetView showZeros="0" zoomScaleNormal="100" workbookViewId="0">
      <pane xSplit="5" ySplit="7" topLeftCell="S8" activePane="bottomRight" state="frozen"/>
      <selection activeCell="AG1" sqref="AG1:AG1048576"/>
      <selection pane="topRight" activeCell="AG1" sqref="AG1:AG1048576"/>
      <selection pane="bottomLeft" activeCell="AG1" sqref="AG1:AG1048576"/>
      <selection pane="bottomRight" activeCell="D22" sqref="D22"/>
    </sheetView>
  </sheetViews>
  <sheetFormatPr defaultColWidth="8.7109375" defaultRowHeight="15" x14ac:dyDescent="0.25"/>
  <cols>
    <col min="1" max="1" width="1.7109375" style="115" customWidth="1"/>
    <col min="2" max="3" width="2.28515625" style="115" customWidth="1"/>
    <col min="4" max="4" width="8" style="115" customWidth="1"/>
    <col min="5" max="5" width="16.140625" style="115" customWidth="1"/>
    <col min="6" max="6" width="2.5703125" style="115" customWidth="1"/>
    <col min="7" max="8" width="7.5703125" style="115" customWidth="1"/>
    <col min="9" max="10" width="4.140625" style="115" customWidth="1"/>
    <col min="11" max="11" width="5.7109375" style="115" customWidth="1"/>
    <col min="12" max="12" width="7.5703125" style="115" customWidth="1"/>
    <col min="13" max="13" width="6.140625" style="115" customWidth="1"/>
    <col min="14" max="14" width="6.5703125" style="115" customWidth="1"/>
    <col min="15" max="15" width="11.5703125" style="115" customWidth="1"/>
    <col min="16" max="17" width="11.5703125" style="115" hidden="1" customWidth="1"/>
    <col min="18" max="18" width="8.7109375" style="115" hidden="1" customWidth="1"/>
    <col min="19" max="19" width="13.85546875" style="115" customWidth="1"/>
    <col min="20" max="20" width="13.85546875" style="115" hidden="1" customWidth="1"/>
    <col min="21" max="21" width="11.85546875" style="115" hidden="1" customWidth="1"/>
    <col min="22" max="22" width="4.7109375" style="115" customWidth="1"/>
    <col min="23" max="23" width="12.140625" style="115" customWidth="1"/>
    <col min="24" max="24" width="6.28515625" style="115" customWidth="1"/>
    <col min="25" max="25" width="7" style="115" customWidth="1"/>
    <col min="26" max="26" width="10.42578125" style="115" customWidth="1"/>
    <col min="27" max="27" width="7.140625" style="115" customWidth="1"/>
    <col min="28" max="28" width="10.85546875" style="115" customWidth="1"/>
    <col min="29" max="29" width="9.140625" style="115" customWidth="1"/>
    <col min="30" max="30" width="8.42578125" style="115" customWidth="1"/>
    <col min="31" max="31" width="10.7109375" style="115" customWidth="1"/>
    <col min="32" max="32" width="7.7109375" style="116" customWidth="1"/>
    <col min="33" max="35" width="7.28515625" style="116" customWidth="1"/>
    <col min="36" max="36" width="4.140625" style="116" customWidth="1"/>
    <col min="37" max="37" width="8.7109375" style="115"/>
    <col min="38" max="38" width="2.28515625" style="115" customWidth="1"/>
    <col min="39" max="16384" width="8.7109375" style="115"/>
  </cols>
  <sheetData>
    <row r="1" spans="1:40" ht="20.25" x14ac:dyDescent="0.3">
      <c r="F1" s="662">
        <f ca="1">NOW()</f>
        <v>43990.388564120367</v>
      </c>
      <c r="H1" s="664" t="str">
        <f ca="1">"tháng "&amp;MONTH(F1)</f>
        <v>tháng 6</v>
      </c>
      <c r="I1" s="664" t="str">
        <f ca="1">"năm "&amp;YEAR(F1)</f>
        <v>năm 2020</v>
      </c>
    </row>
    <row r="3" spans="1:40" ht="13.5" customHeight="1" x14ac:dyDescent="0.25">
      <c r="A3" s="218"/>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3"/>
    </row>
    <row r="4" spans="1:40" ht="11.25" customHeight="1" x14ac:dyDescent="0.25">
      <c r="A4" s="220"/>
      <c r="B4" s="714" t="s">
        <v>0</v>
      </c>
      <c r="C4" s="725"/>
      <c r="D4" s="719" t="s">
        <v>580</v>
      </c>
      <c r="E4" s="716" t="s">
        <v>2</v>
      </c>
      <c r="F4" s="722" t="s">
        <v>3</v>
      </c>
      <c r="G4" s="715" t="s">
        <v>42</v>
      </c>
      <c r="H4" s="715"/>
      <c r="I4" s="728" t="s">
        <v>5</v>
      </c>
      <c r="J4" s="729"/>
      <c r="K4" s="715" t="s">
        <v>4</v>
      </c>
      <c r="L4" s="732" t="s">
        <v>574</v>
      </c>
      <c r="M4" s="718" t="s">
        <v>6</v>
      </c>
      <c r="N4" s="718" t="s">
        <v>7</v>
      </c>
      <c r="O4" s="718" t="s">
        <v>8</v>
      </c>
      <c r="P4" s="718" t="s">
        <v>9</v>
      </c>
      <c r="Q4" s="718" t="s">
        <v>10</v>
      </c>
      <c r="R4" s="707" t="s">
        <v>54</v>
      </c>
      <c r="S4" s="708"/>
      <c r="T4" s="708"/>
      <c r="U4" s="708"/>
      <c r="V4" s="708"/>
      <c r="W4" s="708"/>
      <c r="X4" s="708"/>
      <c r="Y4" s="708"/>
      <c r="Z4" s="708"/>
      <c r="AA4" s="708"/>
      <c r="AB4" s="708"/>
      <c r="AC4" s="709"/>
      <c r="AD4" s="745" t="s">
        <v>130</v>
      </c>
      <c r="AE4" s="714" t="s">
        <v>17</v>
      </c>
      <c r="AF4" s="714"/>
      <c r="AG4" s="707" t="s">
        <v>11</v>
      </c>
      <c r="AH4" s="708"/>
      <c r="AI4" s="708"/>
      <c r="AJ4" s="708"/>
      <c r="AK4" s="718" t="s">
        <v>19</v>
      </c>
      <c r="AL4" s="211"/>
    </row>
    <row r="5" spans="1:40" ht="18" customHeight="1" x14ac:dyDescent="0.25">
      <c r="A5" s="220"/>
      <c r="B5" s="714"/>
      <c r="C5" s="726"/>
      <c r="D5" s="720"/>
      <c r="E5" s="717"/>
      <c r="F5" s="723"/>
      <c r="G5" s="715"/>
      <c r="H5" s="715"/>
      <c r="I5" s="730"/>
      <c r="J5" s="731"/>
      <c r="K5" s="715"/>
      <c r="L5" s="732"/>
      <c r="M5" s="718"/>
      <c r="N5" s="718"/>
      <c r="O5" s="718"/>
      <c r="P5" s="718"/>
      <c r="Q5" s="718"/>
      <c r="R5" s="717" t="s">
        <v>12</v>
      </c>
      <c r="S5" s="710" t="s">
        <v>55</v>
      </c>
      <c r="T5" s="743" t="s">
        <v>56</v>
      </c>
      <c r="U5" s="743" t="s">
        <v>153</v>
      </c>
      <c r="V5" s="740" t="s">
        <v>54</v>
      </c>
      <c r="W5" s="710" t="s">
        <v>14</v>
      </c>
      <c r="X5" s="712" t="s">
        <v>13</v>
      </c>
      <c r="Y5" s="710" t="s">
        <v>18</v>
      </c>
      <c r="Z5" s="710" t="s">
        <v>162</v>
      </c>
      <c r="AA5" s="710" t="s">
        <v>161</v>
      </c>
      <c r="AB5" s="710" t="s">
        <v>164</v>
      </c>
      <c r="AC5" s="745" t="s">
        <v>165</v>
      </c>
      <c r="AD5" s="710"/>
      <c r="AE5" s="714" t="s">
        <v>26</v>
      </c>
      <c r="AF5" s="742" t="s">
        <v>27</v>
      </c>
      <c r="AG5" s="736" t="s">
        <v>20</v>
      </c>
      <c r="AH5" s="733" t="s">
        <v>23</v>
      </c>
      <c r="AI5" s="734"/>
      <c r="AJ5" s="735"/>
      <c r="AK5" s="718"/>
      <c r="AL5" s="212" t="s">
        <v>573</v>
      </c>
    </row>
    <row r="6" spans="1:40" ht="35.25" customHeight="1" x14ac:dyDescent="0.25">
      <c r="A6" s="220"/>
      <c r="B6" s="714"/>
      <c r="C6" s="727"/>
      <c r="D6" s="721"/>
      <c r="E6" s="717"/>
      <c r="F6" s="724"/>
      <c r="G6" s="232" t="s">
        <v>53</v>
      </c>
      <c r="H6" s="232" t="s">
        <v>935</v>
      </c>
      <c r="I6" s="235" t="s">
        <v>939</v>
      </c>
      <c r="J6" s="233" t="s">
        <v>935</v>
      </c>
      <c r="K6" s="716"/>
      <c r="L6" s="732"/>
      <c r="M6" s="718"/>
      <c r="N6" s="718"/>
      <c r="O6" s="718"/>
      <c r="P6" s="718"/>
      <c r="Q6" s="718"/>
      <c r="R6" s="741"/>
      <c r="S6" s="711"/>
      <c r="T6" s="744"/>
      <c r="U6" s="744"/>
      <c r="V6" s="713"/>
      <c r="W6" s="711"/>
      <c r="X6" s="713"/>
      <c r="Y6" s="711"/>
      <c r="Z6" s="711"/>
      <c r="AA6" s="711"/>
      <c r="AB6" s="711"/>
      <c r="AC6" s="711"/>
      <c r="AD6" s="711"/>
      <c r="AE6" s="714"/>
      <c r="AF6" s="742"/>
      <c r="AG6" s="736"/>
      <c r="AH6" s="234" t="s">
        <v>11</v>
      </c>
      <c r="AI6" s="231" t="s">
        <v>28</v>
      </c>
      <c r="AJ6" s="231"/>
      <c r="AK6" s="718"/>
      <c r="AL6" s="212"/>
    </row>
    <row r="7" spans="1:40" ht="10.5" customHeight="1" x14ac:dyDescent="0.25">
      <c r="A7" s="220"/>
      <c r="B7" s="214" t="s">
        <v>531</v>
      </c>
      <c r="C7" s="214" t="s">
        <v>532</v>
      </c>
      <c r="D7" s="215" t="s">
        <v>632</v>
      </c>
      <c r="E7" s="216" t="s">
        <v>631</v>
      </c>
      <c r="F7" s="216" t="s">
        <v>595</v>
      </c>
      <c r="G7" s="216" t="s">
        <v>596</v>
      </c>
      <c r="H7" s="216"/>
      <c r="I7" s="216" t="s">
        <v>597</v>
      </c>
      <c r="J7" s="216"/>
      <c r="K7" s="216" t="s">
        <v>598</v>
      </c>
      <c r="L7" s="216" t="s">
        <v>599</v>
      </c>
      <c r="M7" s="216" t="s">
        <v>630</v>
      </c>
      <c r="N7" s="215" t="s">
        <v>600</v>
      </c>
      <c r="O7" s="215" t="s">
        <v>601</v>
      </c>
      <c r="P7" s="215" t="s">
        <v>602</v>
      </c>
      <c r="Q7" s="215" t="s">
        <v>603</v>
      </c>
      <c r="R7" s="215" t="s">
        <v>604</v>
      </c>
      <c r="S7" s="215" t="s">
        <v>605</v>
      </c>
      <c r="T7" s="215" t="s">
        <v>606</v>
      </c>
      <c r="U7" s="215" t="s">
        <v>607</v>
      </c>
      <c r="V7" s="215" t="s">
        <v>608</v>
      </c>
      <c r="W7" s="215" t="s">
        <v>609</v>
      </c>
      <c r="X7" s="215" t="s">
        <v>610</v>
      </c>
      <c r="Y7" s="215" t="s">
        <v>471</v>
      </c>
      <c r="Z7" s="215" t="s">
        <v>611</v>
      </c>
      <c r="AA7" s="215" t="s">
        <v>612</v>
      </c>
      <c r="AB7" s="215" t="s">
        <v>613</v>
      </c>
      <c r="AC7" s="215" t="s">
        <v>614</v>
      </c>
      <c r="AD7" s="215" t="s">
        <v>615</v>
      </c>
      <c r="AE7" s="215" t="s">
        <v>616</v>
      </c>
      <c r="AF7" s="215" t="s">
        <v>617</v>
      </c>
      <c r="AG7" s="215" t="s">
        <v>618</v>
      </c>
      <c r="AH7" s="215" t="s">
        <v>619</v>
      </c>
      <c r="AI7" s="215" t="s">
        <v>620</v>
      </c>
      <c r="AJ7" s="215" t="s">
        <v>621</v>
      </c>
      <c r="AK7" s="215" t="s">
        <v>622</v>
      </c>
      <c r="AL7" s="212"/>
    </row>
    <row r="8" spans="1:40" s="118" customFormat="1" x14ac:dyDescent="0.25">
      <c r="A8" s="220"/>
      <c r="B8" s="119">
        <f>IF(E8=0,0,1)</f>
        <v>1</v>
      </c>
      <c r="C8" s="120">
        <f>Dangchung!C8</f>
        <v>1</v>
      </c>
      <c r="D8" s="122">
        <f>IF(Dangchung!D8&lt;&gt;0,0,0)</f>
        <v>0</v>
      </c>
      <c r="E8" s="122" t="str">
        <f>IF(Dangchung!D8&lt;&gt;0,0,Dangchung!E8)</f>
        <v>Lê Thị Nhung</v>
      </c>
      <c r="F8" s="123" t="str">
        <f>IF($E8=0,0,Dangchung!F8)</f>
        <v>x</v>
      </c>
      <c r="G8" s="123">
        <f>IF($E8=0,0,Dangchung!G8)</f>
        <v>0</v>
      </c>
      <c r="H8" s="123" t="str">
        <f>IF($E8=0,0,Dangchung!H8)</f>
        <v>25/12/1983</v>
      </c>
      <c r="I8" s="241">
        <f>IF($E8=0,0,Dangchung!I8)</f>
        <v>0</v>
      </c>
      <c r="J8" s="241">
        <f>IF($E8=0,0,Dangchung!J8)</f>
        <v>1983</v>
      </c>
      <c r="K8" s="241" t="str">
        <f>IF($E8=0,0,Dangchung!K8)</f>
        <v>NV</v>
      </c>
      <c r="L8" s="241">
        <f>IF($E8=0,0,Dangchung!L8)</f>
        <v>0</v>
      </c>
      <c r="M8" s="241" t="str">
        <f>IF($E8=0,0,Dangchung!M8)</f>
        <v>Phật</v>
      </c>
      <c r="N8" s="241" t="str">
        <f>IF($E8=0,0,Dangchung!N8)</f>
        <v>Bần nông</v>
      </c>
      <c r="O8" s="241" t="str">
        <f>IF($E8=0,0,Dangchung!O8)</f>
        <v>Ngọc Hiển-Cà Mau</v>
      </c>
      <c r="P8" s="241" t="str">
        <f>IF($E8=0,0,Dangchung!P8)</f>
        <v>Tiên Phong-Duy Tiên-Hà Nam</v>
      </c>
      <c r="Q8" s="241" t="str">
        <f>IF($E8=0,0,Dangchung!Q8)</f>
        <v>282/0 Vĩnh Phú-VTT</v>
      </c>
      <c r="R8" s="241" t="str">
        <f>IF($E8=0,0,Dangchung!R8)</f>
        <v>PTTH/03/TB</v>
      </c>
      <c r="S8" s="241" t="str">
        <f>IF($E8=0,0,Dangchung!S8)</f>
        <v>TrC/KTNS/05/Giỏi</v>
      </c>
      <c r="T8" s="241" t="str">
        <f>IF($E8=0,0,Dangchung!T8)</f>
        <v>ĐHTX/QTKD/12/TBK</v>
      </c>
      <c r="U8" s="241">
        <f>IF($E8=0,0,Dangchung!U8)</f>
        <v>0</v>
      </c>
      <c r="V8" s="241" t="str">
        <f>IF($E8=0,0,Dangchung!V8)</f>
        <v>ĐHTX</v>
      </c>
      <c r="W8" s="241">
        <f>IF($E8=0,0,Dangchung!W8)</f>
        <v>0</v>
      </c>
      <c r="X8" s="241">
        <f>IF($E8=0,0,Dangchung!X8)</f>
        <v>0</v>
      </c>
      <c r="Y8" s="241" t="str">
        <f>IF($E8=0,0,Dangchung!Y8)</f>
        <v>A/04/Giỏi</v>
      </c>
      <c r="Z8" s="241" t="str">
        <f>IF($E8=0,0,Dangchung!Z8)</f>
        <v>B/Anh/11/TB</v>
      </c>
      <c r="AA8" s="241">
        <f>IF($E8=0,0,Dangchung!AA8)</f>
        <v>0</v>
      </c>
      <c r="AB8" s="241">
        <f>IF($E8=0,0,Dangchung!AB8)</f>
        <v>0</v>
      </c>
      <c r="AC8" s="241">
        <f>IF($E8=0,0,Dangchung!AC8)</f>
        <v>0</v>
      </c>
      <c r="AD8" s="241" t="str">
        <f>IF($E8=0,0,Dangchung!AD8)</f>
        <v>CN/18/Giỏi</v>
      </c>
      <c r="AE8" s="241">
        <f>IF($E8=0,0,Dangchung!AE8)</f>
        <v>351760595</v>
      </c>
      <c r="AF8" s="123" t="str">
        <f>IF($E8=0,0,Dangchung!AF8)</f>
        <v>24/03/2003</v>
      </c>
      <c r="AG8" s="123" t="str">
        <f>IF($E8=0,0,Dangchung!AG8)</f>
        <v>01/10/2005</v>
      </c>
      <c r="AH8" s="123" t="str">
        <f>IF($E8=0,0,Dangchung!AH8)</f>
        <v>01/07/2008</v>
      </c>
      <c r="AI8" s="241" t="str">
        <f>IF($E8=0,0,Dangchung!AI8)</f>
        <v>Chưa thẻ</v>
      </c>
      <c r="AJ8" s="241">
        <f>IF($E8=0,0,Dangchung!AJ8)</f>
        <v>2008</v>
      </c>
      <c r="AK8" s="123" t="str">
        <f>IF($E8=0,0,Dangchung!AK8)</f>
        <v>0949010871</v>
      </c>
      <c r="AL8" s="212"/>
      <c r="AM8" s="117"/>
      <c r="AN8" s="117"/>
    </row>
    <row r="9" spans="1:40" s="118" customFormat="1" x14ac:dyDescent="0.25">
      <c r="A9" s="220"/>
      <c r="B9" s="128">
        <f>IF(E9=0,0,MAX($B$8:B8)+1)</f>
        <v>2</v>
      </c>
      <c r="C9" s="132">
        <f>Dangchung!C9</f>
        <v>2</v>
      </c>
      <c r="D9" s="128">
        <f>IF(Dangchung!D9&lt;&gt;0,0,0)</f>
        <v>0</v>
      </c>
      <c r="E9" s="128" t="str">
        <f>IF(Dangchung!D9&lt;&gt;0,0,Dangchung!E9)</f>
        <v>Lê Thị Bích Thy</v>
      </c>
      <c r="F9" s="123" t="str">
        <f>IF($E9=0,0,Dangchung!F9)</f>
        <v>x</v>
      </c>
      <c r="G9" s="123">
        <f>IF($E9=0,0,Dangchung!G9)</f>
        <v>0</v>
      </c>
      <c r="H9" s="123" t="str">
        <f>IF($E9=0,0,Dangchung!H9)</f>
        <v>04/07/1967</v>
      </c>
      <c r="I9" s="125">
        <f>IF($E9=0,0,Dangchung!I9)</f>
        <v>0</v>
      </c>
      <c r="J9" s="125">
        <f>IF($E9=0,0,Dangchung!J9)</f>
        <v>1967</v>
      </c>
      <c r="K9" s="123" t="str">
        <f>IF($E9=0,0,Dangchung!K9)</f>
        <v>NV</v>
      </c>
      <c r="L9" s="123">
        <f>IF($E9=0,0,Dangchung!L9)</f>
        <v>0</v>
      </c>
      <c r="M9" s="123" t="str">
        <f>IF($E9=0,0,Dangchung!M9)</f>
        <v>Phật</v>
      </c>
      <c r="N9" s="123" t="str">
        <f>IF($E9=0,0,Dangchung!N9)</f>
        <v>Nông dân</v>
      </c>
      <c r="O9" s="123" t="str">
        <f>IF($E9=0,0,Dangchung!O9)</f>
        <v>Vĩnh Tế-An Giang</v>
      </c>
      <c r="P9" s="123" t="str">
        <f>IF($E9=0,0,Dangchung!P9)</f>
        <v>Cái Dầu-Châu Phú-AG</v>
      </c>
      <c r="Q9" s="123" t="str">
        <f>IF($E9=0,0,Dangchung!Q9)</f>
        <v>3,Vĩnh Phúc, Cái Dầu</v>
      </c>
      <c r="R9" s="123" t="str">
        <f>IF($E9=0,0,Dangchung!R9)</f>
        <v>PTTH/86/TB</v>
      </c>
      <c r="S9" s="123" t="str">
        <f>IF($E9=0,0,Dangchung!S9)</f>
        <v>TrC KTNN/01/TB</v>
      </c>
      <c r="T9" s="123" t="str">
        <f>IF($E9=0,0,Dangchung!T9)</f>
        <v>TCTC/KTDN/08/Khá</v>
      </c>
      <c r="U9" s="123">
        <f>IF($E9=0,0,Dangchung!U9)</f>
        <v>0</v>
      </c>
      <c r="V9" s="123" t="str">
        <f>IF($E9=0,0,Dangchung!V9)</f>
        <v>TCTC</v>
      </c>
      <c r="W9" s="241">
        <f>IF($E9=0,0,Dangchung!W9)</f>
        <v>0</v>
      </c>
      <c r="X9" s="241">
        <f>IF($E9=0,0,Dangchung!X9)</f>
        <v>0</v>
      </c>
      <c r="Y9" s="241" t="str">
        <f>IF($E9=0,0,Dangchung!Y9)</f>
        <v>A/06/Giỏi</v>
      </c>
      <c r="Z9" s="241">
        <f>IF($E9=0,0,Dangchung!Z9)</f>
        <v>0</v>
      </c>
      <c r="AA9" s="241">
        <f>IF($E9=0,0,Dangchung!AA9)</f>
        <v>0</v>
      </c>
      <c r="AB9" s="241">
        <f>IF($E9=0,0,Dangchung!AB9)</f>
        <v>0</v>
      </c>
      <c r="AC9" s="241">
        <f>IF($E9=0,0,Dangchung!AC9)</f>
        <v>0</v>
      </c>
      <c r="AD9" s="241" t="str">
        <f>IF($E9=0,0,Dangchung!AD9)</f>
        <v>CN/15/Khá</v>
      </c>
      <c r="AE9" s="241">
        <f>IF($E9=0,0,Dangchung!AE9)</f>
        <v>350774540</v>
      </c>
      <c r="AF9" s="241" t="str">
        <f>IF($E9=0,0,Dangchung!AF9)</f>
        <v>10/04/2015</v>
      </c>
      <c r="AG9" s="241" t="str">
        <f>IF($E9=0,0,Dangchung!AG9)</f>
        <v>16/11/1990</v>
      </c>
      <c r="AH9" s="241" t="str">
        <f>IF($E9=0,0,Dangchung!AH9)</f>
        <v>05/10/2005</v>
      </c>
      <c r="AI9" s="241" t="str">
        <f>IF($E9=0,0,Dangchung!AI9)</f>
        <v>31.031 055</v>
      </c>
      <c r="AJ9" s="241">
        <f>IF($E9=0,0,Dangchung!AJ9)</f>
        <v>2005</v>
      </c>
      <c r="AK9" s="241" t="str">
        <f>IF($E9=0,0,Dangchung!AK9)</f>
        <v>0939208137</v>
      </c>
      <c r="AL9" s="212"/>
    </row>
    <row r="10" spans="1:40" s="118" customFormat="1" hidden="1" x14ac:dyDescent="0.25">
      <c r="A10" s="220"/>
      <c r="B10" s="128">
        <f>IF(E10=0,0,MAX($B$8:B9)+1)</f>
        <v>0</v>
      </c>
      <c r="C10" s="132">
        <f>Dangchung!C10</f>
        <v>0</v>
      </c>
      <c r="D10" s="128">
        <f>IF(Dangchung!D10&lt;&gt;0,0,0)</f>
        <v>0</v>
      </c>
      <c r="E10" s="128">
        <f>IF(Dangchung!D10&lt;&gt;0,0,Dangchung!E10)</f>
        <v>0</v>
      </c>
      <c r="F10" s="123">
        <f>IF($E10=0,0,Dangchung!F10)</f>
        <v>0</v>
      </c>
      <c r="G10" s="123">
        <f>IF($E10=0,0,Dangchung!G10)</f>
        <v>0</v>
      </c>
      <c r="H10" s="123">
        <f>IF($E10=0,0,Dangchung!H10)</f>
        <v>0</v>
      </c>
      <c r="I10" s="125">
        <f>IF($E10=0,0,Dangchung!I10)</f>
        <v>0</v>
      </c>
      <c r="J10" s="125">
        <f>IF($E10=0,0,Dangchung!J10)</f>
        <v>0</v>
      </c>
      <c r="K10" s="123">
        <f>IF($E10=0,0,Dangchung!K10)</f>
        <v>0</v>
      </c>
      <c r="L10" s="123">
        <f>IF($E10=0,0,Dangchung!L10)</f>
        <v>0</v>
      </c>
      <c r="M10" s="123">
        <f>IF($E10=0,0,Dangchung!M10)</f>
        <v>0</v>
      </c>
      <c r="N10" s="123">
        <f>IF($E10=0,0,Dangchung!N10)</f>
        <v>0</v>
      </c>
      <c r="O10" s="123">
        <f>IF($E10=0,0,Dangchung!O10)</f>
        <v>0</v>
      </c>
      <c r="P10" s="123">
        <f>IF($E10=0,0,Dangchung!P10)</f>
        <v>0</v>
      </c>
      <c r="Q10" s="123">
        <f>IF($E10=0,0,Dangchung!Q10)</f>
        <v>0</v>
      </c>
      <c r="R10" s="123">
        <f>IF($E10=0,0,Dangchung!R10)</f>
        <v>0</v>
      </c>
      <c r="S10" s="123">
        <f>IF($E10=0,0,Dangchung!S10)</f>
        <v>0</v>
      </c>
      <c r="T10" s="123">
        <f>IF($E10=0,0,Dangchung!T10)</f>
        <v>0</v>
      </c>
      <c r="U10" s="123">
        <f>IF($E10=0,0,Dangchung!U10)</f>
        <v>0</v>
      </c>
      <c r="V10" s="123">
        <f>IF($E10=0,0,Dangchung!V10)</f>
        <v>0</v>
      </c>
      <c r="W10" s="241">
        <f>IF($E10=0,0,Dangchung!W10)</f>
        <v>0</v>
      </c>
      <c r="X10" s="241">
        <f>IF($E10=0,0,Dangchung!X10)</f>
        <v>0</v>
      </c>
      <c r="Y10" s="241">
        <f>IF($E10=0,0,Dangchung!Y10)</f>
        <v>0</v>
      </c>
      <c r="Z10" s="241">
        <f>IF($E10=0,0,Dangchung!Z10)</f>
        <v>0</v>
      </c>
      <c r="AA10" s="241">
        <f>IF($E10=0,0,Dangchung!AA10)</f>
        <v>0</v>
      </c>
      <c r="AB10" s="241">
        <f>IF($E10=0,0,Dangchung!AB10)</f>
        <v>0</v>
      </c>
      <c r="AC10" s="241">
        <f>IF($E10=0,0,Dangchung!AC10)</f>
        <v>0</v>
      </c>
      <c r="AD10" s="241">
        <f>IF($E10=0,0,Dangchung!AD10)</f>
        <v>0</v>
      </c>
      <c r="AE10" s="241">
        <f>IF($E10=0,0,Dangchung!AE10)</f>
        <v>0</v>
      </c>
      <c r="AF10" s="241">
        <f>IF($E10=0,0,Dangchung!AF10)</f>
        <v>0</v>
      </c>
      <c r="AG10" s="241">
        <f>IF($E10=0,0,Dangchung!AG10)</f>
        <v>0</v>
      </c>
      <c r="AH10" s="241">
        <f>IF($E10=0,0,Dangchung!AH10)</f>
        <v>0</v>
      </c>
      <c r="AI10" s="241">
        <f>IF($E10=0,0,Dangchung!AI10)</f>
        <v>0</v>
      </c>
      <c r="AJ10" s="241">
        <f>IF($E10=0,0,Dangchung!AJ10)</f>
        <v>0</v>
      </c>
      <c r="AK10" s="241">
        <f>IF($E10=0,0,Dangchung!AK10)</f>
        <v>0</v>
      </c>
      <c r="AL10" s="212"/>
    </row>
    <row r="11" spans="1:40" s="118" customFormat="1" hidden="1" x14ac:dyDescent="0.25">
      <c r="A11" s="220"/>
      <c r="B11" s="128">
        <f>IF(E11=0,0,MAX($B$8:B10)+1)</f>
        <v>0</v>
      </c>
      <c r="C11" s="132">
        <f>Dangchung!C11</f>
        <v>0</v>
      </c>
      <c r="D11" s="128">
        <f>IF(Dangchung!D11&lt;&gt;0,0,0)</f>
        <v>0</v>
      </c>
      <c r="E11" s="128">
        <f>IF(Dangchung!D11&lt;&gt;0,0,Dangchung!E11)</f>
        <v>0</v>
      </c>
      <c r="F11" s="123">
        <f>IF($E11=0,0,Dangchung!F11)</f>
        <v>0</v>
      </c>
      <c r="G11" s="123">
        <f>IF($E11=0,0,Dangchung!G11)</f>
        <v>0</v>
      </c>
      <c r="H11" s="123">
        <f>IF($E11=0,0,Dangchung!H11)</f>
        <v>0</v>
      </c>
      <c r="I11" s="125">
        <f>IF($E11=0,0,Dangchung!I11)</f>
        <v>0</v>
      </c>
      <c r="J11" s="125">
        <f>IF($E11=0,0,Dangchung!J11)</f>
        <v>0</v>
      </c>
      <c r="K11" s="123">
        <f>IF($E11=0,0,Dangchung!K11)</f>
        <v>0</v>
      </c>
      <c r="L11" s="123">
        <f>IF($E11=0,0,Dangchung!L11)</f>
        <v>0</v>
      </c>
      <c r="M11" s="123">
        <f>IF($E11=0,0,Dangchung!M11)</f>
        <v>0</v>
      </c>
      <c r="N11" s="123">
        <f>IF($E11=0,0,Dangchung!N11)</f>
        <v>0</v>
      </c>
      <c r="O11" s="123">
        <f>IF($E11=0,0,Dangchung!O11)</f>
        <v>0</v>
      </c>
      <c r="P11" s="123">
        <f>IF($E11=0,0,Dangchung!P11)</f>
        <v>0</v>
      </c>
      <c r="Q11" s="123">
        <f>IF($E11=0,0,Dangchung!Q11)</f>
        <v>0</v>
      </c>
      <c r="R11" s="123">
        <f>IF($E11=0,0,Dangchung!R11)</f>
        <v>0</v>
      </c>
      <c r="S11" s="123">
        <f>IF($E11=0,0,Dangchung!S11)</f>
        <v>0</v>
      </c>
      <c r="T11" s="123">
        <f>IF($E11=0,0,Dangchung!T11)</f>
        <v>0</v>
      </c>
      <c r="U11" s="123">
        <f>IF($E11=0,0,Dangchung!U11)</f>
        <v>0</v>
      </c>
      <c r="V11" s="123">
        <f>IF($E11=0,0,Dangchung!V11)</f>
        <v>0</v>
      </c>
      <c r="W11" s="241">
        <f>IF($E11=0,0,Dangchung!W11)</f>
        <v>0</v>
      </c>
      <c r="X11" s="241">
        <f>IF($E11=0,0,Dangchung!X11)</f>
        <v>0</v>
      </c>
      <c r="Y11" s="241">
        <f>IF($E11=0,0,Dangchung!Y11)</f>
        <v>0</v>
      </c>
      <c r="Z11" s="241">
        <f>IF($E11=0,0,Dangchung!Z11)</f>
        <v>0</v>
      </c>
      <c r="AA11" s="241">
        <f>IF($E11=0,0,Dangchung!AA11)</f>
        <v>0</v>
      </c>
      <c r="AB11" s="241">
        <f>IF($E11=0,0,Dangchung!AB11)</f>
        <v>0</v>
      </c>
      <c r="AC11" s="241">
        <f>IF($E11=0,0,Dangchung!AC11)</f>
        <v>0</v>
      </c>
      <c r="AD11" s="241">
        <f>IF($E11=0,0,Dangchung!AD11)</f>
        <v>0</v>
      </c>
      <c r="AE11" s="241">
        <f>IF($E11=0,0,Dangchung!AE11)</f>
        <v>0</v>
      </c>
      <c r="AF11" s="241">
        <f>IF($E11=0,0,Dangchung!AF11)</f>
        <v>0</v>
      </c>
      <c r="AG11" s="241">
        <f>IF($E11=0,0,Dangchung!AG11)</f>
        <v>0</v>
      </c>
      <c r="AH11" s="241">
        <f>IF($E11=0,0,Dangchung!AH11)</f>
        <v>0</v>
      </c>
      <c r="AI11" s="241">
        <f>IF($E11=0,0,Dangchung!AI11)</f>
        <v>0</v>
      </c>
      <c r="AJ11" s="241">
        <f>IF($E11=0,0,Dangchung!AJ11)</f>
        <v>0</v>
      </c>
      <c r="AK11" s="241">
        <f>IF($E11=0,0,Dangchung!AK11)</f>
        <v>0</v>
      </c>
      <c r="AL11" s="212"/>
    </row>
    <row r="12" spans="1:40" s="118" customFormat="1" hidden="1" x14ac:dyDescent="0.25">
      <c r="A12" s="220"/>
      <c r="B12" s="128">
        <f>IF(E12=0,0,MAX($B$8:B11)+1)</f>
        <v>0</v>
      </c>
      <c r="C12" s="132">
        <f>Dangchung!C12</f>
        <v>0</v>
      </c>
      <c r="D12" s="128">
        <f>IF(Dangchung!D12&lt;&gt;0,0,0)</f>
        <v>0</v>
      </c>
      <c r="E12" s="128">
        <f>IF(Dangchung!D12&lt;&gt;0,0,Dangchung!E12)</f>
        <v>0</v>
      </c>
      <c r="F12" s="123">
        <f>IF($E12=0,0,Dangchung!F12)</f>
        <v>0</v>
      </c>
      <c r="G12" s="123">
        <f>IF($E12=0,0,Dangchung!G12)</f>
        <v>0</v>
      </c>
      <c r="H12" s="123">
        <f>IF($E12=0,0,Dangchung!H12)</f>
        <v>0</v>
      </c>
      <c r="I12" s="125">
        <f>IF($E12=0,0,Dangchung!I12)</f>
        <v>0</v>
      </c>
      <c r="J12" s="125">
        <f>IF($E12=0,0,Dangchung!J12)</f>
        <v>0</v>
      </c>
      <c r="K12" s="123">
        <f>IF($E12=0,0,Dangchung!K12)</f>
        <v>0</v>
      </c>
      <c r="L12" s="123">
        <f>IF($E12=0,0,Dangchung!L12)</f>
        <v>0</v>
      </c>
      <c r="M12" s="123">
        <f>IF($E12=0,0,Dangchung!M12)</f>
        <v>0</v>
      </c>
      <c r="N12" s="123">
        <f>IF($E12=0,0,Dangchung!N12)</f>
        <v>0</v>
      </c>
      <c r="O12" s="123">
        <f>IF($E12=0,0,Dangchung!O12)</f>
        <v>0</v>
      </c>
      <c r="P12" s="123">
        <f>IF($E12=0,0,Dangchung!P12)</f>
        <v>0</v>
      </c>
      <c r="Q12" s="123">
        <f>IF($E12=0,0,Dangchung!Q12)</f>
        <v>0</v>
      </c>
      <c r="R12" s="123">
        <f>IF($E12=0,0,Dangchung!R12)</f>
        <v>0</v>
      </c>
      <c r="S12" s="123">
        <f>IF($E12=0,0,Dangchung!S12)</f>
        <v>0</v>
      </c>
      <c r="T12" s="123">
        <f>IF($E12=0,0,Dangchung!T12)</f>
        <v>0</v>
      </c>
      <c r="U12" s="123">
        <f>IF($E12=0,0,Dangchung!U12)</f>
        <v>0</v>
      </c>
      <c r="V12" s="123">
        <f>IF($E12=0,0,Dangchung!V12)</f>
        <v>0</v>
      </c>
      <c r="W12" s="241">
        <f>IF($E12=0,0,Dangchung!W12)</f>
        <v>0</v>
      </c>
      <c r="X12" s="241">
        <f>IF($E12=0,0,Dangchung!X12)</f>
        <v>0</v>
      </c>
      <c r="Y12" s="241">
        <f>IF($E12=0,0,Dangchung!Y12)</f>
        <v>0</v>
      </c>
      <c r="Z12" s="241">
        <f>IF($E12=0,0,Dangchung!Z12)</f>
        <v>0</v>
      </c>
      <c r="AA12" s="241">
        <f>IF($E12=0,0,Dangchung!AA12)</f>
        <v>0</v>
      </c>
      <c r="AB12" s="241">
        <f>IF($E12=0,0,Dangchung!AB12)</f>
        <v>0</v>
      </c>
      <c r="AC12" s="241">
        <f>IF($E12=0,0,Dangchung!AC12)</f>
        <v>0</v>
      </c>
      <c r="AD12" s="241">
        <f>IF($E12=0,0,Dangchung!AD12)</f>
        <v>0</v>
      </c>
      <c r="AE12" s="241">
        <f>IF($E12=0,0,Dangchung!AE12)</f>
        <v>0</v>
      </c>
      <c r="AF12" s="241">
        <f>IF($E12=0,0,Dangchung!AF12)</f>
        <v>0</v>
      </c>
      <c r="AG12" s="241">
        <f>IF($E12=0,0,Dangchung!AG12)</f>
        <v>0</v>
      </c>
      <c r="AH12" s="241">
        <f>IF($E12=0,0,Dangchung!AH12)</f>
        <v>0</v>
      </c>
      <c r="AI12" s="241">
        <f>IF($E12=0,0,Dangchung!AI12)</f>
        <v>0</v>
      </c>
      <c r="AJ12" s="241">
        <f>IF($E12=0,0,Dangchung!AJ12)</f>
        <v>0</v>
      </c>
      <c r="AK12" s="241">
        <f>IF($E12=0,0,Dangchung!AK12)</f>
        <v>0</v>
      </c>
      <c r="AL12" s="212"/>
    </row>
    <row r="13" spans="1:40" s="118" customFormat="1" hidden="1" x14ac:dyDescent="0.25">
      <c r="A13" s="220"/>
      <c r="B13" s="128">
        <f>IF(E13=0,0,MAX($B$8:B12)+1)</f>
        <v>0</v>
      </c>
      <c r="C13" s="132">
        <f>Dangchung!C13</f>
        <v>0</v>
      </c>
      <c r="D13" s="128">
        <f>IF(Dangchung!D13&lt;&gt;0,0,0)</f>
        <v>0</v>
      </c>
      <c r="E13" s="128">
        <f>IF(Dangchung!D13&lt;&gt;0,0,Dangchung!E13)</f>
        <v>0</v>
      </c>
      <c r="F13" s="123">
        <f>IF($E13=0,0,Dangchung!F13)</f>
        <v>0</v>
      </c>
      <c r="G13" s="123">
        <f>IF($E13=0,0,Dangchung!G13)</f>
        <v>0</v>
      </c>
      <c r="H13" s="123">
        <f>IF($E13=0,0,Dangchung!H13)</f>
        <v>0</v>
      </c>
      <c r="I13" s="125">
        <f>IF($E13=0,0,Dangchung!I13)</f>
        <v>0</v>
      </c>
      <c r="J13" s="125">
        <f>IF($E13=0,0,Dangchung!J13)</f>
        <v>0</v>
      </c>
      <c r="K13" s="123">
        <f>IF($E13=0,0,Dangchung!K13)</f>
        <v>0</v>
      </c>
      <c r="L13" s="123">
        <f>IF($E13=0,0,Dangchung!L13)</f>
        <v>0</v>
      </c>
      <c r="M13" s="123">
        <f>IF($E13=0,0,Dangchung!M13)</f>
        <v>0</v>
      </c>
      <c r="N13" s="123">
        <f>IF($E13=0,0,Dangchung!N13)</f>
        <v>0</v>
      </c>
      <c r="O13" s="123">
        <f>IF($E13=0,0,Dangchung!O13)</f>
        <v>0</v>
      </c>
      <c r="P13" s="123">
        <f>IF($E13=0,0,Dangchung!P13)</f>
        <v>0</v>
      </c>
      <c r="Q13" s="123">
        <f>IF($E13=0,0,Dangchung!Q13)</f>
        <v>0</v>
      </c>
      <c r="R13" s="123">
        <f>IF($E13=0,0,Dangchung!R13)</f>
        <v>0</v>
      </c>
      <c r="S13" s="123">
        <f>IF($E13=0,0,Dangchung!S13)</f>
        <v>0</v>
      </c>
      <c r="T13" s="123">
        <f>IF($E13=0,0,Dangchung!T13)</f>
        <v>0</v>
      </c>
      <c r="U13" s="123">
        <f>IF($E13=0,0,Dangchung!U13)</f>
        <v>0</v>
      </c>
      <c r="V13" s="123">
        <f>IF($E13=0,0,Dangchung!V13)</f>
        <v>0</v>
      </c>
      <c r="W13" s="241">
        <f>IF($E13=0,0,Dangchung!W13)</f>
        <v>0</v>
      </c>
      <c r="X13" s="241">
        <f>IF($E13=0,0,Dangchung!X13)</f>
        <v>0</v>
      </c>
      <c r="Y13" s="241">
        <f>IF($E13=0,0,Dangchung!Y13)</f>
        <v>0</v>
      </c>
      <c r="Z13" s="241">
        <f>IF($E13=0,0,Dangchung!Z13)</f>
        <v>0</v>
      </c>
      <c r="AA13" s="241">
        <f>IF($E13=0,0,Dangchung!AA13)</f>
        <v>0</v>
      </c>
      <c r="AB13" s="241">
        <f>IF($E13=0,0,Dangchung!AB13)</f>
        <v>0</v>
      </c>
      <c r="AC13" s="241">
        <f>IF($E13=0,0,Dangchung!AC13)</f>
        <v>0</v>
      </c>
      <c r="AD13" s="241">
        <f>IF($E13=0,0,Dangchung!AD13)</f>
        <v>0</v>
      </c>
      <c r="AE13" s="241">
        <f>IF($E13=0,0,Dangchung!AE13)</f>
        <v>0</v>
      </c>
      <c r="AF13" s="241">
        <f>IF($E13=0,0,Dangchung!AF13)</f>
        <v>0</v>
      </c>
      <c r="AG13" s="241">
        <f>IF($E13=0,0,Dangchung!AG13)</f>
        <v>0</v>
      </c>
      <c r="AH13" s="241">
        <f>IF($E13=0,0,Dangchung!AH13)</f>
        <v>0</v>
      </c>
      <c r="AI13" s="241">
        <f>IF($E13=0,0,Dangchung!AI13)</f>
        <v>0</v>
      </c>
      <c r="AJ13" s="241">
        <f>IF($E13=0,0,Dangchung!AJ13)</f>
        <v>0</v>
      </c>
      <c r="AK13" s="241">
        <f>IF($E13=0,0,Dangchung!AK13)</f>
        <v>0</v>
      </c>
      <c r="AL13" s="212"/>
    </row>
    <row r="14" spans="1:40" s="118" customFormat="1" hidden="1" x14ac:dyDescent="0.25">
      <c r="A14" s="220"/>
      <c r="B14" s="128">
        <f>IF(E14=0,0,MAX($B$8:B13)+1)</f>
        <v>0</v>
      </c>
      <c r="C14" s="143">
        <f>Dangchung!C14</f>
        <v>0</v>
      </c>
      <c r="D14" s="142">
        <f>IF(Dangchung!D14&lt;&gt;0,0,0)</f>
        <v>0</v>
      </c>
      <c r="E14" s="142">
        <f>IF(Dangchung!D14&lt;&gt;0,0,Dangchung!E14)</f>
        <v>0</v>
      </c>
      <c r="F14" s="145">
        <f>IF($E14=0,0,Dangchung!F14)</f>
        <v>0</v>
      </c>
      <c r="G14" s="145">
        <f>IF($E14=0,0,Dangchung!G14)</f>
        <v>0</v>
      </c>
      <c r="H14" s="145">
        <f>IF($E14=0,0,Dangchung!H14)</f>
        <v>0</v>
      </c>
      <c r="I14" s="147">
        <f>IF($E14=0,0,Dangchung!I14)</f>
        <v>0</v>
      </c>
      <c r="J14" s="147">
        <f>IF($E14=0,0,Dangchung!J14)</f>
        <v>0</v>
      </c>
      <c r="K14" s="145">
        <f>IF($E14=0,0,Dangchung!K14)</f>
        <v>0</v>
      </c>
      <c r="L14" s="145">
        <f>IF($E14=0,0,Dangchung!L14)</f>
        <v>0</v>
      </c>
      <c r="M14" s="145">
        <f>IF($E14=0,0,Dangchung!M14)</f>
        <v>0</v>
      </c>
      <c r="N14" s="145">
        <f>IF($E14=0,0,Dangchung!N14)</f>
        <v>0</v>
      </c>
      <c r="O14" s="145">
        <f>IF($E14=0,0,Dangchung!O14)</f>
        <v>0</v>
      </c>
      <c r="P14" s="145">
        <f>IF($E14=0,0,Dangchung!P14)</f>
        <v>0</v>
      </c>
      <c r="Q14" s="145">
        <f>IF($E14=0,0,Dangchung!Q14)</f>
        <v>0</v>
      </c>
      <c r="R14" s="145">
        <f>IF($E14=0,0,Dangchung!R14)</f>
        <v>0</v>
      </c>
      <c r="S14" s="145">
        <f>IF($E14=0,0,Dangchung!S14)</f>
        <v>0</v>
      </c>
      <c r="T14" s="145">
        <f>IF($E14=0,0,Dangchung!T14)</f>
        <v>0</v>
      </c>
      <c r="U14" s="145">
        <f>IF($E14=0,0,Dangchung!U14)</f>
        <v>0</v>
      </c>
      <c r="V14" s="145">
        <f>IF($E14=0,0,Dangchung!V14)</f>
        <v>0</v>
      </c>
      <c r="W14" s="242">
        <f>IF($E14=0,0,Dangchung!W14)</f>
        <v>0</v>
      </c>
      <c r="X14" s="242">
        <f>IF($E14=0,0,Dangchung!X14)</f>
        <v>0</v>
      </c>
      <c r="Y14" s="242">
        <f>IF($E14=0,0,Dangchung!Y14)</f>
        <v>0</v>
      </c>
      <c r="Z14" s="242">
        <f>IF($E14=0,0,Dangchung!Z14)</f>
        <v>0</v>
      </c>
      <c r="AA14" s="242">
        <f>IF($E14=0,0,Dangchung!AA14)</f>
        <v>0</v>
      </c>
      <c r="AB14" s="242">
        <f>IF($E14=0,0,Dangchung!AB14)</f>
        <v>0</v>
      </c>
      <c r="AC14" s="242">
        <f>IF($E14=0,0,Dangchung!AC14)</f>
        <v>0</v>
      </c>
      <c r="AD14" s="242">
        <f>IF($E14=0,0,Dangchung!AD14)</f>
        <v>0</v>
      </c>
      <c r="AE14" s="242">
        <f>IF($E14=0,0,Dangchung!AE14)</f>
        <v>0</v>
      </c>
      <c r="AF14" s="242">
        <f>IF($E14=0,0,Dangchung!AF14)</f>
        <v>0</v>
      </c>
      <c r="AG14" s="242">
        <f>IF($E14=0,0,Dangchung!AG14)</f>
        <v>0</v>
      </c>
      <c r="AH14" s="242">
        <f>IF($E14=0,0,Dangchung!AH14)</f>
        <v>0</v>
      </c>
      <c r="AI14" s="242">
        <f>IF($E14=0,0,Dangchung!AI14)</f>
        <v>0</v>
      </c>
      <c r="AJ14" s="242">
        <f>IF($E14=0,0,Dangchung!AJ14)</f>
        <v>0</v>
      </c>
      <c r="AK14" s="242">
        <f>IF($E14=0,0,Dangchung!AK14)</f>
        <v>0</v>
      </c>
      <c r="AL14" s="212"/>
    </row>
    <row r="15" spans="1:40" x14ac:dyDescent="0.25">
      <c r="A15" s="220"/>
      <c r="B15" s="128">
        <f>IF(E15=0,0,MAX($B$8:B14)+1)</f>
        <v>3</v>
      </c>
      <c r="C15" s="152">
        <f>Dangchung!C15</f>
        <v>1</v>
      </c>
      <c r="D15" s="151">
        <f>IF(Dangchung!D15&lt;&gt;0,0,0)</f>
        <v>0</v>
      </c>
      <c r="E15" s="151" t="str">
        <f>IF(Dangchung!D15&lt;&gt;0,0,Dangchung!E15)</f>
        <v>Nguyễn Thanh Hùng</v>
      </c>
      <c r="F15" s="123">
        <f>IF($E15=0,0,Dangchung!F15)</f>
        <v>0</v>
      </c>
      <c r="G15" s="123" t="str">
        <f>IF($E15=0,0,Dangchung!G15)</f>
        <v>29/12/1967</v>
      </c>
      <c r="H15" s="123">
        <f>IF($E15=0,0,Dangchung!H15)</f>
        <v>0</v>
      </c>
      <c r="I15" s="185">
        <f>IF($E15=0,0,Dangchung!I15)</f>
        <v>1967</v>
      </c>
      <c r="J15" s="185">
        <f>IF($E15=0,0,Dangchung!J15)</f>
        <v>0</v>
      </c>
      <c r="K15" s="123" t="str">
        <f>IF($E15=0,0,Dangchung!K15)</f>
        <v>HT</v>
      </c>
      <c r="L15" s="123" t="str">
        <f>IF($E15=0,0,Dangchung!L15)</f>
        <v>09/03/2017</v>
      </c>
      <c r="M15" s="123" t="str">
        <f>IF($E15=0,0,Dangchung!M15)</f>
        <v>x</v>
      </c>
      <c r="N15" s="123" t="str">
        <f>IF($E15=0,0,Dangchung!N15)</f>
        <v>Nông dân</v>
      </c>
      <c r="O15" s="123" t="str">
        <f>IF($E15=0,0,Dangchung!O15)</f>
        <v>Điều Hòa-Định Tường</v>
      </c>
      <c r="P15" s="123" t="str">
        <f>IF($E15=0,0,Dangchung!P15)</f>
        <v>Bình Mỹ-Châu Phú</v>
      </c>
      <c r="Q15" s="123" t="str">
        <f>IF($E15=0,0,Dangchung!Q15)</f>
        <v>198/5 Bình Hưng I, Bình Mỹ</v>
      </c>
      <c r="R15" s="123" t="str">
        <f>IF($E15=0,0,Dangchung!R15)</f>
        <v>PTTH/85/TB</v>
      </c>
      <c r="S15" s="123" t="str">
        <f>IF($E15=0,0,Dangchung!S15)</f>
        <v>CĐ2/Lý-KTPT/87/TB</v>
      </c>
      <c r="T15" s="123" t="str">
        <f>IF($E15=0,0,Dangchung!T15)</f>
        <v>ĐHTC/Lý/97/TB</v>
      </c>
      <c r="U15" s="123" t="str">
        <f>IF($E15=0,0,Dangchung!U15)</f>
        <v>QLSREM/09</v>
      </c>
      <c r="V15" s="123" t="str">
        <f>IF($E15=0,0,Dangchung!V15)</f>
        <v>ĐHTC</v>
      </c>
      <c r="W15" s="241" t="str">
        <f>IF($E15=0,0,Dangchung!W15)</f>
        <v>QLPT/99/Khá</v>
      </c>
      <c r="X15" s="241" t="str">
        <f>IF($E15=0,0,Dangchung!X15)</f>
        <v>TC/01/Khá</v>
      </c>
      <c r="Y15" s="241">
        <f>IF($E15=0,0,Dangchung!Y15)</f>
        <v>0</v>
      </c>
      <c r="Z15" s="241">
        <f>IF($E15=0,0,Dangchung!Z15)</f>
        <v>0</v>
      </c>
      <c r="AA15" s="241" t="str">
        <f>IF($E15=0,0,Dangchung!AA15)</f>
        <v>KĐCL/10</v>
      </c>
      <c r="AB15" s="241" t="str">
        <f>IF($E15=0,0,Dangchung!AB15)</f>
        <v>NLQLTC/09</v>
      </c>
      <c r="AC15" s="241" t="str">
        <f>IF($E15=0,0,Dangchung!AC15)</f>
        <v>NLCLPT/13</v>
      </c>
      <c r="AD15" s="241" t="str">
        <f>IF($E15=0,0,Dangchung!AD15)</f>
        <v>CC/09/Giỏi</v>
      </c>
      <c r="AE15" s="241">
        <f>IF($E15=0,0,Dangchung!AE15)</f>
        <v>350829378</v>
      </c>
      <c r="AF15" s="241" t="str">
        <f>IF($E15=0,0,Dangchung!AF15)</f>
        <v>28/06/2007</v>
      </c>
      <c r="AG15" s="241" t="str">
        <f>IF($E15=0,0,Dangchung!AG15)</f>
        <v>10/09/1987</v>
      </c>
      <c r="AH15" s="241" t="str">
        <f>IF($E15=0,0,Dangchung!AH15)</f>
        <v>16/04/1998</v>
      </c>
      <c r="AI15" s="241" t="str">
        <f>IF($E15=0,0,Dangchung!AI15)</f>
        <v>31.014 905</v>
      </c>
      <c r="AJ15" s="241">
        <f>IF($E15=0,0,Dangchung!AJ15)</f>
        <v>1998</v>
      </c>
      <c r="AK15" s="241" t="str">
        <f>IF($E15=0,0,Dangchung!AK15)</f>
        <v>0919304371</v>
      </c>
      <c r="AL15" s="212"/>
    </row>
    <row r="16" spans="1:40" x14ac:dyDescent="0.25">
      <c r="A16" s="220"/>
      <c r="B16" s="128">
        <f>IF(E16=0,0,MAX($B$8:B15)+1)</f>
        <v>4</v>
      </c>
      <c r="C16" s="163">
        <f>Dangchung!C16</f>
        <v>2</v>
      </c>
      <c r="D16" s="162">
        <f>IF(Dangchung!D16&lt;&gt;0,0,0)</f>
        <v>0</v>
      </c>
      <c r="E16" s="162" t="str">
        <f>IF(Dangchung!D16&lt;&gt;0,0,Dangchung!E16)</f>
        <v>Võ Minh Triết</v>
      </c>
      <c r="F16" s="123">
        <f>IF($E16=0,0,Dangchung!F16)</f>
        <v>0</v>
      </c>
      <c r="G16" s="123" t="str">
        <f>IF($E16=0,0,Dangchung!G16)</f>
        <v>08/07/1968</v>
      </c>
      <c r="H16" s="123">
        <f>IF($E16=0,0,Dangchung!H16)</f>
        <v>0</v>
      </c>
      <c r="I16" s="125">
        <f>IF($E16=0,0,Dangchung!I16)</f>
        <v>1968</v>
      </c>
      <c r="J16" s="125">
        <f>IF($E16=0,0,Dangchung!J16)</f>
        <v>0</v>
      </c>
      <c r="K16" s="123" t="str">
        <f>IF($E16=0,0,Dangchung!K16)</f>
        <v>PHT</v>
      </c>
      <c r="L16" s="123" t="str">
        <f>IF($E16=0,0,Dangchung!L16)</f>
        <v>17/11/2014</v>
      </c>
      <c r="M16" s="123" t="str">
        <f>IF($E16=0,0,Dangchung!M16)</f>
        <v>x</v>
      </c>
      <c r="N16" s="123" t="str">
        <f>IF($E16=0,0,Dangchung!N16)</f>
        <v>Nông dân</v>
      </c>
      <c r="O16" s="123" t="str">
        <f>IF($E16=0,0,Dangchung!O16)</f>
        <v>Vĩnh Thạnh Trung-An Giang</v>
      </c>
      <c r="P16" s="123" t="str">
        <f>IF($E16=0,0,Dangchung!P16)</f>
        <v>Vĩnh Thạnh Trung-Châu Phú</v>
      </c>
      <c r="Q16" s="123" t="str">
        <f>IF($E16=0,0,Dangchung!Q16)</f>
        <v>Vĩnh Hưng-VTT</v>
      </c>
      <c r="R16" s="123" t="str">
        <f>IF($E16=0,0,Dangchung!R16)</f>
        <v>PTTH/85/TB</v>
      </c>
      <c r="S16" s="123" t="str">
        <f>IF($E16=0,0,Dangchung!S16)</f>
        <v>CĐ3/Toán-KTCN/89/TB</v>
      </c>
      <c r="T16" s="123" t="str">
        <f>IF($E16=0,0,Dangchung!T16)</f>
        <v>ĐHTX/Toán/99/Khá</v>
      </c>
      <c r="U16" s="123">
        <f>IF($E16=0,0,Dangchung!U16)</f>
        <v>0</v>
      </c>
      <c r="V16" s="123" t="str">
        <f>IF($E16=0,0,Dangchung!V16)</f>
        <v>ĐHTX</v>
      </c>
      <c r="W16" s="241" t="str">
        <f>IF($E16=0,0,Dangchung!W16)</f>
        <v>QLTHCS/09/Khá</v>
      </c>
      <c r="X16" s="241" t="str">
        <f>IF($E16=0,0,Dangchung!X16)</f>
        <v>TC/05/TB</v>
      </c>
      <c r="Y16" s="241" t="str">
        <f>IF($E16=0,0,Dangchung!Y16)</f>
        <v>A/03/Giỏi</v>
      </c>
      <c r="Z16" s="241" t="str">
        <f>IF($E16=0,0,Dangchung!Z16)</f>
        <v>A/Anh/07/TB</v>
      </c>
      <c r="AA16" s="241">
        <f>IF($E16=0,0,Dangchung!AA16)</f>
        <v>0</v>
      </c>
      <c r="AB16" s="241" t="str">
        <f>IF($E16=0,0,Dangchung!AB16)</f>
        <v>NLQLTC/09</v>
      </c>
      <c r="AC16" s="241" t="str">
        <f>IF($E16=0,0,Dangchung!AC16)</f>
        <v>NLCLPT/13</v>
      </c>
      <c r="AD16" s="241" t="str">
        <f>IF($E16=0,0,Dangchung!AD16)</f>
        <v>CC/09/Khá</v>
      </c>
      <c r="AE16" s="241">
        <f>IF($E16=0,0,Dangchung!AE16)</f>
        <v>350770109</v>
      </c>
      <c r="AF16" s="241" t="str">
        <f>IF($E16=0,0,Dangchung!AF16)</f>
        <v>10/10/2010</v>
      </c>
      <c r="AG16" s="241" t="str">
        <f>IF($E16=0,0,Dangchung!AG16)</f>
        <v>05/09/1988</v>
      </c>
      <c r="AH16" s="241" t="str">
        <f>IF($E16=0,0,Dangchung!AH16)</f>
        <v>18/09/2003</v>
      </c>
      <c r="AI16" s="241" t="str">
        <f>IF($E16=0,0,Dangchung!AI16)</f>
        <v>31.026 868</v>
      </c>
      <c r="AJ16" s="241">
        <f>IF($E16=0,0,Dangchung!AJ16)</f>
        <v>2003</v>
      </c>
      <c r="AK16" s="241" t="str">
        <f>IF($E16=0,0,Dangchung!AK16)</f>
        <v>0919029403</v>
      </c>
      <c r="AL16" s="212"/>
    </row>
    <row r="17" spans="1:38" x14ac:dyDescent="0.25">
      <c r="A17" s="220"/>
      <c r="B17" s="128">
        <f>IF(E17=0,0,MAX($B$8:B16)+1)</f>
        <v>5</v>
      </c>
      <c r="C17" s="163">
        <f>Dangchung!C17</f>
        <v>3</v>
      </c>
      <c r="D17" s="162">
        <f>IF(Dangchung!D17&lt;&gt;0,0,0)</f>
        <v>0</v>
      </c>
      <c r="E17" s="162" t="str">
        <f>IF(Dangchung!D17&lt;&gt;0,0,Dangchung!E17)</f>
        <v>Dương Thanh Phong</v>
      </c>
      <c r="F17" s="123">
        <f>IF($E17=0,0,Dangchung!F17)</f>
        <v>0</v>
      </c>
      <c r="G17" s="123" t="str">
        <f>IF($E17=0,0,Dangchung!G17)</f>
        <v>01/09/1977</v>
      </c>
      <c r="H17" s="123">
        <f>IF($E17=0,0,Dangchung!H17)</f>
        <v>0</v>
      </c>
      <c r="I17" s="125">
        <f>IF($E17=0,0,Dangchung!I17)</f>
        <v>1977</v>
      </c>
      <c r="J17" s="125">
        <f>IF($E17=0,0,Dangchung!J17)</f>
        <v>0</v>
      </c>
      <c r="K17" s="123" t="str">
        <f>IF($E17=0,0,Dangchung!K17)</f>
        <v>PHT</v>
      </c>
      <c r="L17" s="123" t="str">
        <f>IF($E17=0,0,Dangchung!L17)</f>
        <v>09/03/2017</v>
      </c>
      <c r="M17" s="123" t="str">
        <f>IF($E17=0,0,Dangchung!M17)</f>
        <v>Cao đài</v>
      </c>
      <c r="N17" s="123" t="str">
        <f>IF($E17=0,0,Dangchung!N17)</f>
        <v>Nông dân</v>
      </c>
      <c r="O17" s="123" t="str">
        <f>IF($E17=0,0,Dangchung!O17)</f>
        <v>Mỹ Đức-An Giang</v>
      </c>
      <c r="P17" s="123" t="str">
        <f>IF($E17=0,0,Dangchung!P17)</f>
        <v>Vĩnh Mỹ-Châu Đốc</v>
      </c>
      <c r="Q17" s="123" t="str">
        <f>IF($E17=0,0,Dangchung!Q17)</f>
        <v>Mỹ Đức-Châu Phú</v>
      </c>
      <c r="R17" s="123" t="str">
        <f>IF($E17=0,0,Dangchung!R17)</f>
        <v>PTTH/96/TB</v>
      </c>
      <c r="S17" s="123" t="str">
        <f>IF($E17=0,0,Dangchung!S17)</f>
        <v>CĐCQ3/TD/99/Khá</v>
      </c>
      <c r="T17" s="123" t="str">
        <f>IF($E17=0,0,Dangchung!T17)</f>
        <v>ĐHTC/TD/2019/XS</v>
      </c>
      <c r="U17" s="123">
        <f>IF($E17=0,0,Dangchung!U17)</f>
        <v>0</v>
      </c>
      <c r="V17" s="123" t="str">
        <f>IF($E17=0,0,Dangchung!V17)</f>
        <v>ĐHTC</v>
      </c>
      <c r="W17" s="241" t="str">
        <f>IF($E17=0,0,Dangchung!W17)</f>
        <v>QLTHCS/18/Khá</v>
      </c>
      <c r="X17" s="241" t="str">
        <f>IF($E17=0,0,Dangchung!X17)</f>
        <v>TC/12/Khá</v>
      </c>
      <c r="Y17" s="241" t="str">
        <f>IF($E17=0,0,Dangchung!Y17)</f>
        <v>A/07/Giỏi</v>
      </c>
      <c r="Z17" s="241" t="str">
        <f>IF($E17=0,0,Dangchung!Z17)</f>
        <v>B/Anh/13/Khá</v>
      </c>
      <c r="AA17" s="241">
        <f>IF($E17=0,0,Dangchung!AA17)</f>
        <v>0</v>
      </c>
      <c r="AB17" s="241" t="str">
        <f>IF($E17=0,0,Dangchung!AB17)</f>
        <v>NC đàn organ/05</v>
      </c>
      <c r="AC17" s="241">
        <f>IF($E17=0,0,Dangchung!AC17)</f>
        <v>0</v>
      </c>
      <c r="AD17" s="241">
        <f>IF($E17=0,0,Dangchung!AD17)</f>
        <v>0</v>
      </c>
      <c r="AE17" s="241">
        <f>IF($E17=0,0,Dangchung!AE17)</f>
        <v>351768511</v>
      </c>
      <c r="AF17" s="241" t="str">
        <f>IF($E17=0,0,Dangchung!AF17)</f>
        <v>27/05/2003</v>
      </c>
      <c r="AG17" s="241" t="str">
        <f>IF($E17=0,0,Dangchung!AG17)</f>
        <v>01/09/1997</v>
      </c>
      <c r="AH17" s="241" t="str">
        <f>IF($E17=0,0,Dangchung!AH17)</f>
        <v>27/06/2002</v>
      </c>
      <c r="AI17" s="241" t="str">
        <f>IF($E17=0,0,Dangchung!AI17)</f>
        <v>31.015 016</v>
      </c>
      <c r="AJ17" s="241">
        <f>IF($E17=0,0,Dangchung!AJ17)</f>
        <v>2002</v>
      </c>
      <c r="AK17" s="241" t="str">
        <f>IF($E17=0,0,Dangchung!AK17)</f>
        <v>0916271620</v>
      </c>
      <c r="AL17" s="212"/>
    </row>
    <row r="18" spans="1:38" x14ac:dyDescent="0.25">
      <c r="A18" s="220"/>
      <c r="B18" s="128">
        <f>IF(E18=0,0,MAX($B$8:B17)+1)</f>
        <v>6</v>
      </c>
      <c r="C18" s="163">
        <f>Dangchung!C18</f>
        <v>4</v>
      </c>
      <c r="D18" s="162">
        <f>IF(Dangchung!D18&lt;&gt;0,0,0)</f>
        <v>0</v>
      </c>
      <c r="E18" s="162" t="str">
        <f>IF(Dangchung!D18&lt;&gt;0,0,Dangchung!E18)</f>
        <v>Nguyễn Thái Bình</v>
      </c>
      <c r="F18" s="123">
        <f>IF($E18=0,0,Dangchung!F18)</f>
        <v>0</v>
      </c>
      <c r="G18" s="123" t="str">
        <f>IF($E18=0,0,Dangchung!G18)</f>
        <v>17/06/1979</v>
      </c>
      <c r="H18" s="123">
        <f>IF($E18=0,0,Dangchung!H18)</f>
        <v>0</v>
      </c>
      <c r="I18" s="125">
        <f>IF($E18=0,0,Dangchung!I18)</f>
        <v>1979</v>
      </c>
      <c r="J18" s="125">
        <f>IF($E18=0,0,Dangchung!J18)</f>
        <v>0</v>
      </c>
      <c r="K18" s="123" t="str">
        <f>IF($E18=0,0,Dangchung!K18)</f>
        <v>GV</v>
      </c>
      <c r="L18" s="123">
        <f>IF($E18=0,0,Dangchung!L18)</f>
        <v>0</v>
      </c>
      <c r="M18" s="123" t="str">
        <f>IF($E18=0,0,Dangchung!M18)</f>
        <v>Phật</v>
      </c>
      <c r="N18" s="123" t="str">
        <f>IF($E18=0,0,Dangchung!N18)</f>
        <v>Tiểu thương</v>
      </c>
      <c r="O18" s="123" t="str">
        <f>IF($E18=0,0,Dangchung!O18)</f>
        <v>Bình Long-An Giang</v>
      </c>
      <c r="P18" s="123" t="str">
        <f>IF($E18=0,0,Dangchung!P18)</f>
        <v>Bình Long-Châu Phú</v>
      </c>
      <c r="Q18" s="123" t="str">
        <f>IF($E18=0,0,Dangchung!Q18)</f>
        <v>82/5 Bình Chánh-Bình Long</v>
      </c>
      <c r="R18" s="123" t="str">
        <f>IF($E18=0,0,Dangchung!R18)</f>
        <v>PTTH/97/TB</v>
      </c>
      <c r="S18" s="123" t="str">
        <f>IF($E18=0,0,Dangchung!S18)</f>
        <v>CĐ3/Văn-Sử/01/TB</v>
      </c>
      <c r="T18" s="123" t="str">
        <f>IF($E18=0,0,Dangchung!T18)</f>
        <v>ĐHTX/Văn/07/TBK</v>
      </c>
      <c r="U18" s="123">
        <f>IF($E18=0,0,Dangchung!U18)</f>
        <v>0</v>
      </c>
      <c r="V18" s="123" t="str">
        <f>IF($E18=0,0,Dangchung!V18)</f>
        <v>ĐHTX</v>
      </c>
      <c r="W18" s="241">
        <f>IF($E18=0,0,Dangchung!W18)</f>
        <v>0</v>
      </c>
      <c r="X18" s="241" t="str">
        <f>IF($E18=0,0,Dangchung!X18)</f>
        <v>SC/18</v>
      </c>
      <c r="Y18" s="241" t="str">
        <f>IF($E18=0,0,Dangchung!Y18)</f>
        <v>A/04/Khá</v>
      </c>
      <c r="Z18" s="241" t="str">
        <f>IF($E18=0,0,Dangchung!Z18)</f>
        <v>B/Anh/08/TB</v>
      </c>
      <c r="AA18" s="241">
        <f>IF($E18=0,0,Dangchung!AA18)</f>
        <v>0</v>
      </c>
      <c r="AB18" s="241">
        <f>IF($E18=0,0,Dangchung!AB18)</f>
        <v>0</v>
      </c>
      <c r="AC18" s="241">
        <f>IF($E18=0,0,Dangchung!AC18)</f>
        <v>0</v>
      </c>
      <c r="AD18" s="241" t="str">
        <f>IF($E18=0,0,Dangchung!AD18)</f>
        <v>CN/09/TB</v>
      </c>
      <c r="AE18" s="241">
        <f>IF($E18=0,0,Dangchung!AE18)</f>
        <v>351300396</v>
      </c>
      <c r="AF18" s="241" t="str">
        <f>IF($E18=0,0,Dangchung!AF18)</f>
        <v>06/07/2015</v>
      </c>
      <c r="AG18" s="241" t="str">
        <f>IF($E18=0,0,Dangchung!AG18)</f>
        <v>01/09/2001</v>
      </c>
      <c r="AH18" s="241" t="str">
        <f>IF($E18=0,0,Dangchung!AH18)</f>
        <v>27/07/2006</v>
      </c>
      <c r="AI18" s="241" t="str">
        <f>IF($E18=0,0,Dangchung!AI18)</f>
        <v>31.030 479</v>
      </c>
      <c r="AJ18" s="241">
        <f>IF($E18=0,0,Dangchung!AJ18)</f>
        <v>2006</v>
      </c>
      <c r="AK18" s="241" t="str">
        <f>IF($E18=0,0,Dangchung!AK18)</f>
        <v>0919159154</v>
      </c>
      <c r="AL18" s="212"/>
    </row>
    <row r="19" spans="1:38" x14ac:dyDescent="0.25">
      <c r="A19" s="220"/>
      <c r="B19" s="128">
        <f>IF(E19=0,0,MAX($B$8:B18)+1)</f>
        <v>7</v>
      </c>
      <c r="C19" s="174">
        <f>Dangchung!C19</f>
        <v>5</v>
      </c>
      <c r="D19" s="173">
        <f>IF(Dangchung!D19&lt;&gt;0,0,0)</f>
        <v>0</v>
      </c>
      <c r="E19" s="173" t="str">
        <f>IF(Dangchung!D19&lt;&gt;0,0,Dangchung!E19)</f>
        <v>Bùi Thông Thái</v>
      </c>
      <c r="F19" s="145">
        <f>IF($E19=0,0,Dangchung!F19)</f>
        <v>0</v>
      </c>
      <c r="G19" s="145" t="str">
        <f>IF($E19=0,0,Dangchung!G19)</f>
        <v>22/07/1965</v>
      </c>
      <c r="H19" s="145">
        <f>IF($E19=0,0,Dangchung!H19)</f>
        <v>0</v>
      </c>
      <c r="I19" s="147">
        <f>IF($E19=0,0,Dangchung!I19)</f>
        <v>1965</v>
      </c>
      <c r="J19" s="147">
        <f>IF($E19=0,0,Dangchung!J19)</f>
        <v>0</v>
      </c>
      <c r="K19" s="145" t="str">
        <f>IF($E19=0,0,Dangchung!K19)</f>
        <v>GV</v>
      </c>
      <c r="L19" s="145">
        <f>IF($E19=0,0,Dangchung!L19)</f>
        <v>0</v>
      </c>
      <c r="M19" s="145" t="str">
        <f>IF($E19=0,0,Dangchung!M19)</f>
        <v>Hòa Hảo</v>
      </c>
      <c r="N19" s="145" t="str">
        <f>IF($E19=0,0,Dangchung!N19)</f>
        <v>Nông dân</v>
      </c>
      <c r="O19" s="145" t="str">
        <f>IF($E19=0,0,Dangchung!O19)</f>
        <v>Vĩnh Thạnh Trung-AG</v>
      </c>
      <c r="P19" s="145" t="str">
        <f>IF($E19=0,0,Dangchung!P19)</f>
        <v>Vĩnh Thạnh Trung-Châu Phú</v>
      </c>
      <c r="Q19" s="145" t="str">
        <f>IF($E19=0,0,Dangchung!Q19)</f>
        <v>146/6 Vĩnh Phú-VTT</v>
      </c>
      <c r="R19" s="145" t="str">
        <f>IF($E19=0,0,Dangchung!R19)</f>
        <v>PTTH/82/TB</v>
      </c>
      <c r="S19" s="145" t="str">
        <f>IF($E19=0,0,Dangchung!S19)</f>
        <v>CĐ3/Hóa-Địa/86/TB</v>
      </c>
      <c r="T19" s="145" t="str">
        <f>IF($E19=0,0,Dangchung!T19)</f>
        <v>ĐHTX/Địa/99/TB</v>
      </c>
      <c r="U19" s="145" t="str">
        <f>IF($E19=0,0,Dangchung!U19)</f>
        <v>ĐHTX/Hóa/04/Khá</v>
      </c>
      <c r="V19" s="145" t="str">
        <f>IF($E19=0,0,Dangchung!V19)</f>
        <v>ĐHTX</v>
      </c>
      <c r="W19" s="242" t="str">
        <f>IF($E19=0,0,Dangchung!W19)</f>
        <v>QLTH/11/Khá</v>
      </c>
      <c r="X19" s="242" t="str">
        <f>IF($E19=0,0,Dangchung!X19)</f>
        <v>TC/10/TB/TC</v>
      </c>
      <c r="Y19" s="242" t="str">
        <f>IF($E19=0,0,Dangchung!Y19)</f>
        <v>A/09/Khá</v>
      </c>
      <c r="Z19" s="242">
        <f>IF($E19=0,0,Dangchung!Z19)</f>
        <v>0</v>
      </c>
      <c r="AA19" s="242">
        <f>IF($E19=0,0,Dangchung!AA19)</f>
        <v>0</v>
      </c>
      <c r="AB19" s="242">
        <f>IF($E19=0,0,Dangchung!AB19)</f>
        <v>0</v>
      </c>
      <c r="AC19" s="242">
        <f>IF($E19=0,0,Dangchung!AC19)</f>
        <v>0</v>
      </c>
      <c r="AD19" s="242" t="str">
        <f>IF($E19=0,0,Dangchung!AD19)</f>
        <v xml:space="preserve"> </v>
      </c>
      <c r="AE19" s="242">
        <f>IF($E19=0,0,Dangchung!AE19)</f>
        <v>350654244</v>
      </c>
      <c r="AF19" s="242" t="str">
        <f>IF($E19=0,0,Dangchung!AF19)</f>
        <v>25/01/2008</v>
      </c>
      <c r="AG19" s="242" t="str">
        <f>IF($E19=0,0,Dangchung!AG19)</f>
        <v>09/09/1985</v>
      </c>
      <c r="AH19" s="242" t="str">
        <f>IF($E19=0,0,Dangchung!AH19)</f>
        <v>19/05/2004</v>
      </c>
      <c r="AI19" s="242" t="str">
        <f>IF($E19=0,0,Dangchung!AI19)</f>
        <v>31.026 220</v>
      </c>
      <c r="AJ19" s="242">
        <f>IF($E19=0,0,Dangchung!AJ19)</f>
        <v>2004</v>
      </c>
      <c r="AK19" s="242" t="str">
        <f>IF($E19=0,0,Dangchung!AK19)</f>
        <v>0974417092</v>
      </c>
      <c r="AL19" s="212"/>
    </row>
    <row r="20" spans="1:38" s="118" customFormat="1" x14ac:dyDescent="0.25">
      <c r="A20" s="220"/>
      <c r="B20" s="128">
        <f>IF(E20=0,0,MAX($B$8:B19)+1)</f>
        <v>8</v>
      </c>
      <c r="C20" s="182">
        <f>Dangchung!C20</f>
        <v>1</v>
      </c>
      <c r="D20" s="122">
        <f>IF(Dangchung!D20&lt;&gt;0,0,0)</f>
        <v>0</v>
      </c>
      <c r="E20" s="122" t="str">
        <f>IF(Dangchung!D20&lt;&gt;0,0,Dangchung!E20)</f>
        <v>Đỗ Viết Hùng</v>
      </c>
      <c r="F20" s="123">
        <f>IF($E20=0,0,Dangchung!F20)</f>
        <v>0</v>
      </c>
      <c r="G20" s="123" t="str">
        <f>IF($E20=0,0,Dangchung!G20)</f>
        <v>19/02/1975</v>
      </c>
      <c r="H20" s="123">
        <f>IF($E20=0,0,Dangchung!H20)</f>
        <v>0</v>
      </c>
      <c r="I20" s="185">
        <f>IF($E20=0,0,Dangchung!I20)</f>
        <v>1975</v>
      </c>
      <c r="J20" s="185">
        <f>IF($E20=0,0,Dangchung!J20)</f>
        <v>0</v>
      </c>
      <c r="K20" s="123" t="str">
        <f>IF($E20=0,0,Dangchung!K20)</f>
        <v>GV</v>
      </c>
      <c r="L20" s="123">
        <f>IF($E20=0,0,Dangchung!L20)</f>
        <v>0</v>
      </c>
      <c r="M20" s="123" t="str">
        <f>IF($E20=0,0,Dangchung!M20)</f>
        <v>Phật</v>
      </c>
      <c r="N20" s="123" t="str">
        <f>IF($E20=0,0,Dangchung!N20)</f>
        <v>Nông dân</v>
      </c>
      <c r="O20" s="123" t="str">
        <f>IF($E20=0,0,Dangchung!O20)</f>
        <v>Vĩnh Thạnh Trung-An Giang</v>
      </c>
      <c r="P20" s="123" t="str">
        <f>IF($E20=0,0,Dangchung!P20)</f>
        <v>Cái Dầu-Châu Phú</v>
      </c>
      <c r="Q20" s="123" t="str">
        <f>IF($E20=0,0,Dangchung!Q20)</f>
        <v>Bình Hưng-Bình Long</v>
      </c>
      <c r="R20" s="123" t="str">
        <f>IF($E20=0,0,Dangchung!R20)</f>
        <v>PTTH/91/Khá</v>
      </c>
      <c r="S20" s="123" t="str">
        <f>IF($E20=0,0,Dangchung!S20)</f>
        <v>CĐ3/Văn/98/TB</v>
      </c>
      <c r="T20" s="123" t="str">
        <f>IF($E20=0,0,Dangchung!T20)</f>
        <v>ĐHTX/Văn/05/TBK</v>
      </c>
      <c r="U20" s="123" t="str">
        <f>IF($E20=0,0,Dangchung!U20)</f>
        <v>QLSREM/09</v>
      </c>
      <c r="V20" s="123" t="str">
        <f>IF($E20=0,0,Dangchung!V20)</f>
        <v>ĐHTX</v>
      </c>
      <c r="W20" s="241" t="str">
        <f>IF($E20=0,0,Dangchung!W20)</f>
        <v>QLTHCS/05/Khá</v>
      </c>
      <c r="X20" s="241"/>
      <c r="Y20" s="241" t="str">
        <f>IF($E20=0,0,Dangchung!Y20)</f>
        <v>A/07/Giỏi</v>
      </c>
      <c r="Z20" s="241">
        <f>IF($E20=0,0,Dangchung!Z20)</f>
        <v>0</v>
      </c>
      <c r="AA20" s="241" t="str">
        <f>IF($E20=0,0,Dangchung!AA20)</f>
        <v>KĐCL/10</v>
      </c>
      <c r="AB20" s="241" t="str">
        <f>IF($E20=0,0,Dangchung!AB20)</f>
        <v>NLQLTC/09</v>
      </c>
      <c r="AC20" s="241">
        <f>IF($E20=0,0,Dangchung!AC20)</f>
        <v>0</v>
      </c>
      <c r="AD20" s="241" t="str">
        <f>IF($E20=0,0,Dangchung!AD20)</f>
        <v>CC/08/Giỏi</v>
      </c>
      <c r="AE20" s="241">
        <f>IF($E20=0,0,Dangchung!AE20)</f>
        <v>351079520</v>
      </c>
      <c r="AF20" s="241" t="str">
        <f>IF($E20=0,0,Dangchung!AF20)</f>
        <v>09/12/1979</v>
      </c>
      <c r="AG20" s="241" t="str">
        <f>IF($E20=0,0,Dangchung!AG20)</f>
        <v>01/09/1998</v>
      </c>
      <c r="AH20" s="241" t="str">
        <f>IF($E20=0,0,Dangchung!AH20)</f>
        <v>17/05/2003</v>
      </c>
      <c r="AI20" s="241" t="str">
        <f>IF($E20=0,0,Dangchung!AI20)</f>
        <v>31.016 063</v>
      </c>
      <c r="AJ20" s="241">
        <f>IF($E20=0,0,Dangchung!AJ20)</f>
        <v>2003</v>
      </c>
      <c r="AK20" s="241" t="str">
        <f>IF($E20=0,0,Dangchung!AK20)</f>
        <v>0982224133</v>
      </c>
      <c r="AL20" s="212"/>
    </row>
    <row r="21" spans="1:38" s="118" customFormat="1" x14ac:dyDescent="0.25">
      <c r="A21" s="220"/>
      <c r="B21" s="128">
        <f>IF(E21=0,0,MAX($B$8:B20)+1)</f>
        <v>9</v>
      </c>
      <c r="C21" s="132">
        <f>Dangchung!C21</f>
        <v>2</v>
      </c>
      <c r="D21" s="128">
        <f>IF(Dangchung!D21&lt;&gt;0,0,0)</f>
        <v>0</v>
      </c>
      <c r="E21" s="128" t="str">
        <f>IF(Dangchung!D21&lt;&gt;0,0,Dangchung!E21)</f>
        <v>Phạm Thị Thanh Loan</v>
      </c>
      <c r="F21" s="123" t="str">
        <f>IF($E21=0,0,Dangchung!F21)</f>
        <v>x</v>
      </c>
      <c r="G21" s="123">
        <f>IF($E21=0,0,Dangchung!G21)</f>
        <v>0</v>
      </c>
      <c r="H21" s="123" t="str">
        <f>IF($E21=0,0,Dangchung!H21)</f>
        <v>10/11/1983</v>
      </c>
      <c r="I21" s="125">
        <f>IF($E21=0,0,Dangchung!I21)</f>
        <v>0</v>
      </c>
      <c r="J21" s="125">
        <f>IF($E21=0,0,Dangchung!J21)</f>
        <v>1983</v>
      </c>
      <c r="K21" s="123" t="str">
        <f>IF($E21=0,0,Dangchung!K21)</f>
        <v>GV</v>
      </c>
      <c r="L21" s="123">
        <f>IF($E21=0,0,Dangchung!L21)</f>
        <v>0</v>
      </c>
      <c r="M21" s="123" t="str">
        <f>IF($E21=0,0,Dangchung!M21)</f>
        <v>Phật</v>
      </c>
      <c r="N21" s="123" t="str">
        <f>IF($E21=0,0,Dangchung!N21)</f>
        <v>Nông dân</v>
      </c>
      <c r="O21" s="123" t="str">
        <f>IF($E21=0,0,Dangchung!O21)</f>
        <v>Bình Mỹ-An Giang</v>
      </c>
      <c r="P21" s="123" t="str">
        <f>IF($E21=0,0,Dangchung!P21)</f>
        <v>Bình Mỹ-Châu Phú</v>
      </c>
      <c r="Q21" s="123" t="str">
        <f>IF($E21=0,0,Dangchung!Q21)</f>
        <v>Vĩnh Quới-VTT</v>
      </c>
      <c r="R21" s="123" t="str">
        <f>IF($E21=0,0,Dangchung!R21)</f>
        <v>PTTH/01/TB</v>
      </c>
      <c r="S21" s="123" t="str">
        <f>IF($E21=0,0,Dangchung!S21)</f>
        <v>CĐ3/Văn-Sử/05/Giỏi</v>
      </c>
      <c r="T21" s="123" t="str">
        <f>IF($E21=0,0,Dangchung!T21)</f>
        <v>ĐHTX/Văn/10/TBK</v>
      </c>
      <c r="U21" s="123">
        <f>IF($E21=0,0,Dangchung!U21)</f>
        <v>0</v>
      </c>
      <c r="V21" s="123" t="str">
        <f>IF($E21=0,0,Dangchung!V21)</f>
        <v>ĐHTX</v>
      </c>
      <c r="W21" s="241">
        <f>IF($E21=0,0,Dangchung!W21)</f>
        <v>0</v>
      </c>
      <c r="X21" s="241" t="str">
        <f>IF($E21=0,0,Dangchung!X21)</f>
        <v>SC/16</v>
      </c>
      <c r="Y21" s="241" t="str">
        <f>IF($E21=0,0,Dangchung!Y21)</f>
        <v>A/07/Giỏi</v>
      </c>
      <c r="Z21" s="241">
        <f>IF($E21=0,0,Dangchung!Z21)</f>
        <v>0</v>
      </c>
      <c r="AA21" s="241">
        <f>IF($E21=0,0,Dangchung!AA21)</f>
        <v>0</v>
      </c>
      <c r="AB21" s="241">
        <f>IF($E21=0,0,Dangchung!AB21)</f>
        <v>0</v>
      </c>
      <c r="AC21" s="241">
        <f>IF($E21=0,0,Dangchung!AC21)</f>
        <v>0</v>
      </c>
      <c r="AD21" s="241" t="str">
        <f>IF($E21=0,0,Dangchung!AD21)</f>
        <v>CC/14/Giỏi</v>
      </c>
      <c r="AE21" s="241">
        <f>IF($E21=0,0,Dangchung!AE21)</f>
        <v>351577831</v>
      </c>
      <c r="AF21" s="241" t="str">
        <f>IF($E21=0,0,Dangchung!AF21)</f>
        <v>16/08/2010</v>
      </c>
      <c r="AG21" s="241" t="str">
        <f>IF($E21=0,0,Dangchung!AG21)</f>
        <v>01/09/2005</v>
      </c>
      <c r="AH21" s="241" t="str">
        <f>IF($E21=0,0,Dangchung!AH21)</f>
        <v>04/07/2008</v>
      </c>
      <c r="AI21" s="241" t="str">
        <f>IF($E21=0,0,Dangchung!AI21)</f>
        <v>31.038 051</v>
      </c>
      <c r="AJ21" s="241">
        <f>IF($E21=0,0,Dangchung!AJ21)</f>
        <v>2008</v>
      </c>
      <c r="AK21" s="241" t="str">
        <f>IF($E21=0,0,Dangchung!AK21)</f>
        <v>0398066414</v>
      </c>
      <c r="AL21" s="212"/>
    </row>
    <row r="22" spans="1:38" s="118" customFormat="1" x14ac:dyDescent="0.25">
      <c r="A22" s="220"/>
      <c r="B22" s="128">
        <f>IF(E22=0,0,MAX($B$8:B21)+1)</f>
        <v>10</v>
      </c>
      <c r="C22" s="132">
        <f>Dangchung!C22</f>
        <v>3</v>
      </c>
      <c r="D22" s="128">
        <f>IF(Dangchung!D22&lt;&gt;0,0,0)</f>
        <v>0</v>
      </c>
      <c r="E22" s="128" t="str">
        <f>IF(Dangchung!D22&lt;&gt;0,0,Dangchung!E22)</f>
        <v>Huỳnh Thanh Sơn</v>
      </c>
      <c r="F22" s="123">
        <f>IF($E22=0,0,Dangchung!F22)</f>
        <v>0</v>
      </c>
      <c r="G22" s="123" t="str">
        <f>IF($E22=0,0,Dangchung!G22)</f>
        <v>12/04/1982</v>
      </c>
      <c r="H22" s="123">
        <f>IF($E22=0,0,Dangchung!H22)</f>
        <v>0</v>
      </c>
      <c r="I22" s="125">
        <f>IF($E22=0,0,Dangchung!I22)</f>
        <v>1982</v>
      </c>
      <c r="J22" s="125">
        <f>IF($E22=0,0,Dangchung!J22)</f>
        <v>0</v>
      </c>
      <c r="K22" s="123" t="str">
        <f>IF($E22=0,0,Dangchung!K22)</f>
        <v>GV</v>
      </c>
      <c r="L22" s="123">
        <f>IF($E22=0,0,Dangchung!L22)</f>
        <v>0</v>
      </c>
      <c r="M22" s="123" t="str">
        <f>IF($E22=0,0,Dangchung!M22)</f>
        <v>Phật</v>
      </c>
      <c r="N22" s="123" t="str">
        <f>IF($E22=0,0,Dangchung!N22)</f>
        <v>Nông dân</v>
      </c>
      <c r="O22" s="123" t="str">
        <f>IF($E22=0,0,Dangchung!O22)</f>
        <v>Bình Long-An Giang</v>
      </c>
      <c r="P22" s="123" t="str">
        <f>IF($E22=0,0,Dangchung!P22)</f>
        <v>Bình Long-Châu Phú</v>
      </c>
      <c r="Q22" s="123" t="str">
        <f>IF($E22=0,0,Dangchung!Q22)</f>
        <v>703/28 Chánh Hưng-Bình Long</v>
      </c>
      <c r="R22" s="123" t="str">
        <f>IF($E22=0,0,Dangchung!R22)</f>
        <v>PTTH/00/TB</v>
      </c>
      <c r="S22" s="123" t="str">
        <f>IF($E22=0,0,Dangchung!S22)</f>
        <v>ĐHCQ/Văn/04/TB</v>
      </c>
      <c r="T22" s="123">
        <f>IF($E22=0,0,Dangchung!T22)</f>
        <v>0</v>
      </c>
      <c r="U22" s="123">
        <f>IF($E22=0,0,Dangchung!U22)</f>
        <v>0</v>
      </c>
      <c r="V22" s="123" t="str">
        <f>IF($E22=0,0,Dangchung!V22)</f>
        <v>ĐHCQ</v>
      </c>
      <c r="W22" s="241" t="str">
        <f>IF($E22=0,0,Dangchung!W22)</f>
        <v>QLPT/14/Khá</v>
      </c>
      <c r="X22" s="241" t="str">
        <f>IF($E22=0,0,Dangchung!X22)</f>
        <v>SC/14/Khá</v>
      </c>
      <c r="Y22" s="241" t="str">
        <f>IF($E22=0,0,Dangchung!Y22)</f>
        <v>A/08/Giỏi</v>
      </c>
      <c r="Z22" s="241">
        <f>IF($E22=0,0,Dangchung!Z22)</f>
        <v>0</v>
      </c>
      <c r="AA22" s="241">
        <f>IF($E22=0,0,Dangchung!AA22)</f>
        <v>0</v>
      </c>
      <c r="AB22" s="241">
        <f>IF($E22=0,0,Dangchung!AB22)</f>
        <v>0</v>
      </c>
      <c r="AC22" s="241" t="str">
        <f>IF($E22=0,0,Dangchung!AC22)</f>
        <v>BTCB/12/TB</v>
      </c>
      <c r="AD22" s="241" t="str">
        <f>IF($E22=0,0,Dangchung!AD22)</f>
        <v>CN/06/TB</v>
      </c>
      <c r="AE22" s="241">
        <f>IF($E22=0,0,Dangchung!AE22)</f>
        <v>351423247</v>
      </c>
      <c r="AF22" s="241" t="str">
        <f>IF($E22=0,0,Dangchung!AF22)</f>
        <v>05/09/2007</v>
      </c>
      <c r="AG22" s="241" t="str">
        <f>IF($E22=0,0,Dangchung!AG22)</f>
        <v>01/09/2005</v>
      </c>
      <c r="AH22" s="241" t="str">
        <f>IF($E22=0,0,Dangchung!AH22)</f>
        <v>30/04/2008</v>
      </c>
      <c r="AI22" s="241" t="str">
        <f>IF($E22=0,0,Dangchung!AI22)</f>
        <v>31.037 816</v>
      </c>
      <c r="AJ22" s="241">
        <f>IF($E22=0,0,Dangchung!AJ22)</f>
        <v>2008</v>
      </c>
      <c r="AK22" s="241" t="str">
        <f>IF($E22=0,0,Dangchung!AK22)</f>
        <v>0816789379</v>
      </c>
      <c r="AL22" s="212"/>
    </row>
    <row r="23" spans="1:38" s="118" customFormat="1" x14ac:dyDescent="0.25">
      <c r="A23" s="220"/>
      <c r="B23" s="128">
        <f>IF(E23=0,0,MAX($B$8:B22)+1)</f>
        <v>11</v>
      </c>
      <c r="C23" s="132">
        <f>Dangchung!C23</f>
        <v>4</v>
      </c>
      <c r="D23" s="128">
        <f>IF(Dangchung!D23&lt;&gt;0,0,0)</f>
        <v>0</v>
      </c>
      <c r="E23" s="128" t="str">
        <f>IF(Dangchung!D23&lt;&gt;0,0,Dangchung!E23)</f>
        <v>Nguyễn Thị Phương</v>
      </c>
      <c r="F23" s="123" t="str">
        <f>IF($E23=0,0,Dangchung!F23)</f>
        <v>x</v>
      </c>
      <c r="G23" s="123">
        <f>IF($E23=0,0,Dangchung!G23)</f>
        <v>0</v>
      </c>
      <c r="H23" s="123" t="str">
        <f>IF($E23=0,0,Dangchung!H23)</f>
        <v>15/07/1981</v>
      </c>
      <c r="I23" s="125">
        <f>IF($E23=0,0,Dangchung!I23)</f>
        <v>0</v>
      </c>
      <c r="J23" s="125">
        <f>IF($E23=0,0,Dangchung!J23)</f>
        <v>1981</v>
      </c>
      <c r="K23" s="123" t="str">
        <f>IF($E23=0,0,Dangchung!K23)</f>
        <v>GV</v>
      </c>
      <c r="L23" s="123">
        <f>IF($E23=0,0,Dangchung!L23)</f>
        <v>0</v>
      </c>
      <c r="M23" s="123" t="str">
        <f>IF($E23=0,0,Dangchung!M23)</f>
        <v>Phật</v>
      </c>
      <c r="N23" s="123" t="str">
        <f>IF($E23=0,0,Dangchung!N23)</f>
        <v>Nông dân</v>
      </c>
      <c r="O23" s="123" t="str">
        <f>IF($E23=0,0,Dangchung!O23)</f>
        <v>Đào Hữu Cảnh-AG</v>
      </c>
      <c r="P23" s="123" t="str">
        <f>IF($E23=0,0,Dangchung!P23)</f>
        <v>Thạnh Mỹ Tây-Châu Phú</v>
      </c>
      <c r="Q23" s="123" t="str">
        <f>IF($E23=0,0,Dangchung!Q23)</f>
        <v>17 Vĩnh Hưng-VTT</v>
      </c>
      <c r="R23" s="123" t="str">
        <f>IF($E23=0,0,Dangchung!R23)</f>
        <v>PTTH/02/TB</v>
      </c>
      <c r="S23" s="123" t="str">
        <f>IF($E23=0,0,Dangchung!S23)</f>
        <v>CĐ3/Văn-GDCD/06/TBK</v>
      </c>
      <c r="T23" s="123" t="str">
        <f>IF($E23=0,0,Dangchung!T23)</f>
        <v>ĐHTX/Văn/10/TBK</v>
      </c>
      <c r="U23" s="123">
        <f>IF($E23=0,0,Dangchung!U23)</f>
        <v>0</v>
      </c>
      <c r="V23" s="123" t="str">
        <f>IF($E23=0,0,Dangchung!V23)</f>
        <v>ĐHTX</v>
      </c>
      <c r="W23" s="241">
        <f>IF($E23=0,0,Dangchung!W23)</f>
        <v>0</v>
      </c>
      <c r="X23" s="241">
        <f>IF($E23=0,0,Dangchung!X23)</f>
        <v>0</v>
      </c>
      <c r="Y23" s="241" t="str">
        <f>IF($E23=0,0,Dangchung!Y23)</f>
        <v>A/08/Khá</v>
      </c>
      <c r="Z23" s="241">
        <f>IF($E23=0,0,Dangchung!Z23)</f>
        <v>0</v>
      </c>
      <c r="AA23" s="241">
        <f>IF($E23=0,0,Dangchung!AA23)</f>
        <v>0</v>
      </c>
      <c r="AB23" s="241">
        <f>IF($E23=0,0,Dangchung!AB23)</f>
        <v>0</v>
      </c>
      <c r="AC23" s="241">
        <f>IF($E23=0,0,Dangchung!AC23)</f>
        <v>0</v>
      </c>
      <c r="AD23" s="241" t="str">
        <f>IF($E23=0,0,Dangchung!AD23)</f>
        <v>CC/13/Khá</v>
      </c>
      <c r="AE23" s="241">
        <f>IF($E23=0,0,Dangchung!AE23)</f>
        <v>351436415</v>
      </c>
      <c r="AF23" s="241" t="str">
        <f>IF($E23=0,0,Dangchung!AF23)</f>
        <v>26/09/2011</v>
      </c>
      <c r="AG23" s="241" t="str">
        <f>IF($E23=0,0,Dangchung!AG23)</f>
        <v>01/09/2006</v>
      </c>
      <c r="AH23" s="241" t="str">
        <f>IF($E23=0,0,Dangchung!AH23)</f>
        <v>23/12/2011</v>
      </c>
      <c r="AI23" s="241" t="str">
        <f>IF($E23=0,0,Dangchung!AI23)</f>
        <v>31.049 661</v>
      </c>
      <c r="AJ23" s="241">
        <f>IF($E23=0,0,Dangchung!AJ23)</f>
        <v>2011</v>
      </c>
      <c r="AK23" s="241" t="str">
        <f>IF($E23=0,0,Dangchung!AK23)</f>
        <v>0967666805</v>
      </c>
      <c r="AL23" s="212"/>
    </row>
    <row r="24" spans="1:38" s="118" customFormat="1" x14ac:dyDescent="0.25">
      <c r="A24" s="220"/>
      <c r="B24" s="128">
        <f>IF(E24=0,0,MAX($B$8:B23)+1)</f>
        <v>12</v>
      </c>
      <c r="C24" s="132">
        <f>Dangchung!C24</f>
        <v>5</v>
      </c>
      <c r="D24" s="128">
        <f>IF(Dangchung!D24&lt;&gt;0,0,0)</f>
        <v>0</v>
      </c>
      <c r="E24" s="128" t="str">
        <f>IF(Dangchung!D24&lt;&gt;0,0,Dangchung!E24)</f>
        <v>Thiều Thị Kim Tuyến</v>
      </c>
      <c r="F24" s="123" t="str">
        <f>IF($E24=0,0,Dangchung!F24)</f>
        <v>x</v>
      </c>
      <c r="G24" s="123">
        <f>IF($E24=0,0,Dangchung!G24)</f>
        <v>0</v>
      </c>
      <c r="H24" s="123" t="str">
        <f>IF($E24=0,0,Dangchung!H24)</f>
        <v>04/09/1983</v>
      </c>
      <c r="I24" s="125">
        <f>IF($E24=0,0,Dangchung!I24)</f>
        <v>0</v>
      </c>
      <c r="J24" s="125">
        <f>IF($E24=0,0,Dangchung!J24)</f>
        <v>1983</v>
      </c>
      <c r="K24" s="123" t="str">
        <f>IF($E24=0,0,Dangchung!K24)</f>
        <v>GV</v>
      </c>
      <c r="L24" s="123">
        <f>IF($E24=0,0,Dangchung!L24)</f>
        <v>0</v>
      </c>
      <c r="M24" s="123" t="str">
        <f>IF($E24=0,0,Dangchung!M24)</f>
        <v>x</v>
      </c>
      <c r="N24" s="123" t="str">
        <f>IF($E24=0,0,Dangchung!N24)</f>
        <v>Trí thức</v>
      </c>
      <c r="O24" s="123" t="str">
        <f>IF($E24=0,0,Dangchung!O24)</f>
        <v>Vĩnh Thạnh Trung-An Giang</v>
      </c>
      <c r="P24" s="123" t="str">
        <f>IF($E24=0,0,Dangchung!P24)</f>
        <v>Vĩnh Thạnh Trung-Châu Phú</v>
      </c>
      <c r="Q24" s="123" t="str">
        <f>IF($E24=0,0,Dangchung!Q24)</f>
        <v>95/3 Vĩnh Hưng-VTT</v>
      </c>
      <c r="R24" s="123" t="str">
        <f>IF($E24=0,0,Dangchung!R24)</f>
        <v>PTTH/01/TB</v>
      </c>
      <c r="S24" s="123" t="str">
        <f>IF($E24=0,0,Dangchung!S24)</f>
        <v>CĐ3/Văn-Sử/04/Giỏi</v>
      </c>
      <c r="T24" s="123" t="str">
        <f>IF($E24=0,0,Dangchung!T24)</f>
        <v>ĐHTX/Văn/08/TBK</v>
      </c>
      <c r="U24" s="123">
        <f>IF($E24=0,0,Dangchung!U24)</f>
        <v>0</v>
      </c>
      <c r="V24" s="123" t="str">
        <f>IF($E24=0,0,Dangchung!V24)</f>
        <v>ĐHTX</v>
      </c>
      <c r="W24" s="241">
        <f>IF($E24=0,0,Dangchung!W24)</f>
        <v>0</v>
      </c>
      <c r="X24" s="241">
        <f>IF($E24=0,0,Dangchung!X24)</f>
        <v>0</v>
      </c>
      <c r="Y24" s="241" t="str">
        <f>IF($E24=0,0,Dangchung!Y24)</f>
        <v>A/09/Khá</v>
      </c>
      <c r="Z24" s="241">
        <f>IF($E24=0,0,Dangchung!Z24)</f>
        <v>0</v>
      </c>
      <c r="AA24" s="241">
        <f>IF($E24=0,0,Dangchung!AA24)</f>
        <v>0</v>
      </c>
      <c r="AB24" s="241">
        <f>IF($E24=0,0,Dangchung!AB24)</f>
        <v>0</v>
      </c>
      <c r="AC24" s="241">
        <f>IF($E24=0,0,Dangchung!AC24)</f>
        <v>0</v>
      </c>
      <c r="AD24" s="241" t="str">
        <f>IF($E24=0,0,Dangchung!AD24)</f>
        <v>CN/06/Khá</v>
      </c>
      <c r="AE24" s="241">
        <f>IF($E24=0,0,Dangchung!AE24)</f>
        <v>351466515</v>
      </c>
      <c r="AF24" s="241" t="str">
        <f>IF($E24=0,0,Dangchung!AF24)</f>
        <v>04/09/2013</v>
      </c>
      <c r="AG24" s="241" t="str">
        <f>IF($E24=0,0,Dangchung!AG24)</f>
        <v>01/09/2004</v>
      </c>
      <c r="AH24" s="241" t="str">
        <f>IF($E24=0,0,Dangchung!AH24)</f>
        <v>19/05/2007</v>
      </c>
      <c r="AI24" s="241" t="str">
        <f>IF($E24=0,0,Dangchung!AI24)</f>
        <v>31.035 124</v>
      </c>
      <c r="AJ24" s="241">
        <f>IF($E24=0,0,Dangchung!AJ24)</f>
        <v>2007</v>
      </c>
      <c r="AK24" s="241" t="str">
        <f>IF($E24=0,0,Dangchung!AK24)</f>
        <v>0397154797</v>
      </c>
      <c r="AL24" s="212"/>
    </row>
    <row r="25" spans="1:38" s="118" customFormat="1" hidden="1" x14ac:dyDescent="0.25">
      <c r="A25" s="220"/>
      <c r="B25" s="128">
        <f>IF(E25=0,0,MAX($B$8:B24)+1)</f>
        <v>0</v>
      </c>
      <c r="C25" s="132">
        <f>Dangchung!C25</f>
        <v>0</v>
      </c>
      <c r="D25" s="128">
        <f>IF(Dangchung!D25&lt;&gt;0,0,0)</f>
        <v>0</v>
      </c>
      <c r="E25" s="128">
        <f>IF(Dangchung!D25&lt;&gt;0,0,Dangchung!E25)</f>
        <v>0</v>
      </c>
      <c r="F25" s="123">
        <f>IF($E25=0,0,Dangchung!F25)</f>
        <v>0</v>
      </c>
      <c r="G25" s="123">
        <f>IF($E25=0,0,Dangchung!G25)</f>
        <v>0</v>
      </c>
      <c r="H25" s="123">
        <f>IF($E25=0,0,Dangchung!H25)</f>
        <v>0</v>
      </c>
      <c r="I25" s="125">
        <f>IF($E25=0,0,Dangchung!I25)</f>
        <v>0</v>
      </c>
      <c r="J25" s="125">
        <f>IF($E25=0,0,Dangchung!J25)</f>
        <v>0</v>
      </c>
      <c r="K25" s="123">
        <f>IF($E25=0,0,Dangchung!K25)</f>
        <v>0</v>
      </c>
      <c r="L25" s="123">
        <f>IF($E25=0,0,Dangchung!L25)</f>
        <v>0</v>
      </c>
      <c r="M25" s="123">
        <f>IF($E25=0,0,Dangchung!M25)</f>
        <v>0</v>
      </c>
      <c r="N25" s="123">
        <f>IF($E25=0,0,Dangchung!N25)</f>
        <v>0</v>
      </c>
      <c r="O25" s="123">
        <f>IF($E25=0,0,Dangchung!O25)</f>
        <v>0</v>
      </c>
      <c r="P25" s="123">
        <f>IF($E25=0,0,Dangchung!P25)</f>
        <v>0</v>
      </c>
      <c r="Q25" s="123">
        <f>IF($E25=0,0,Dangchung!Q25)</f>
        <v>0</v>
      </c>
      <c r="R25" s="123">
        <f>IF($E25=0,0,Dangchung!R25)</f>
        <v>0</v>
      </c>
      <c r="S25" s="123">
        <f>IF($E25=0,0,Dangchung!S25)</f>
        <v>0</v>
      </c>
      <c r="T25" s="123">
        <f>IF($E25=0,0,Dangchung!T25)</f>
        <v>0</v>
      </c>
      <c r="U25" s="123">
        <f>IF($E25=0,0,Dangchung!U25)</f>
        <v>0</v>
      </c>
      <c r="V25" s="123">
        <f>IF($E25=0,0,Dangchung!V25)</f>
        <v>0</v>
      </c>
      <c r="W25" s="241">
        <f>IF($E25=0,0,Dangchung!W25)</f>
        <v>0</v>
      </c>
      <c r="X25" s="241">
        <f>IF($E25=0,0,Dangchung!X25)</f>
        <v>0</v>
      </c>
      <c r="Y25" s="241">
        <f>IF($E25=0,0,Dangchung!Y25)</f>
        <v>0</v>
      </c>
      <c r="Z25" s="241">
        <f>IF($E25=0,0,Dangchung!Z25)</f>
        <v>0</v>
      </c>
      <c r="AA25" s="241">
        <f>IF($E25=0,0,Dangchung!AA25)</f>
        <v>0</v>
      </c>
      <c r="AB25" s="241">
        <f>IF($E25=0,0,Dangchung!AB25)</f>
        <v>0</v>
      </c>
      <c r="AC25" s="241">
        <f>IF($E25=0,0,Dangchung!AC25)</f>
        <v>0</v>
      </c>
      <c r="AD25" s="241">
        <f>IF($E25=0,0,Dangchung!AD25)</f>
        <v>0</v>
      </c>
      <c r="AE25" s="241">
        <f>IF($E25=0,0,Dangchung!AE25)</f>
        <v>0</v>
      </c>
      <c r="AF25" s="241">
        <f>IF($E25=0,0,Dangchung!AF25)</f>
        <v>0</v>
      </c>
      <c r="AG25" s="241">
        <f>IF($E25=0,0,Dangchung!AG25)</f>
        <v>0</v>
      </c>
      <c r="AH25" s="241">
        <f>IF($E25=0,0,Dangchung!AH25)</f>
        <v>0</v>
      </c>
      <c r="AI25" s="241">
        <f>IF($E25=0,0,Dangchung!AI25)</f>
        <v>0</v>
      </c>
      <c r="AJ25" s="241">
        <f>IF($E25=0,0,Dangchung!AJ25)</f>
        <v>0</v>
      </c>
      <c r="AK25" s="241">
        <f>IF($E25=0,0,Dangchung!AK25)</f>
        <v>0</v>
      </c>
      <c r="AL25" s="212"/>
    </row>
    <row r="26" spans="1:38" s="118" customFormat="1" x14ac:dyDescent="0.25">
      <c r="A26" s="220"/>
      <c r="B26" s="128">
        <f>IF(E26=0,0,MAX($B$8:B25)+1)</f>
        <v>13</v>
      </c>
      <c r="C26" s="132">
        <f>Dangchung!C26</f>
        <v>6</v>
      </c>
      <c r="D26" s="128">
        <f>IF(Dangchung!D26&lt;&gt;0,0,0)</f>
        <v>0</v>
      </c>
      <c r="E26" s="128" t="str">
        <f>IF(Dangchung!D26&lt;&gt;0,0,Dangchung!E26)</f>
        <v>Nguyễn Văn Hội</v>
      </c>
      <c r="F26" s="123">
        <f>IF($E26=0,0,Dangchung!F26)</f>
        <v>0</v>
      </c>
      <c r="G26" s="123" t="str">
        <f>IF($E26=0,0,Dangchung!G26)</f>
        <v>15/01/1965</v>
      </c>
      <c r="H26" s="123">
        <f>IF($E26=0,0,Dangchung!H26)</f>
        <v>0</v>
      </c>
      <c r="I26" s="125">
        <f>IF($E26=0,0,Dangchung!I26)</f>
        <v>1965</v>
      </c>
      <c r="J26" s="125">
        <f>IF($E26=0,0,Dangchung!J26)</f>
        <v>0</v>
      </c>
      <c r="K26" s="123" t="str">
        <f>IF($E26=0,0,Dangchung!K26)</f>
        <v>GV</v>
      </c>
      <c r="L26" s="123">
        <f>IF($E26=0,0,Dangchung!L26)</f>
        <v>0</v>
      </c>
      <c r="M26" s="123" t="str">
        <f>IF($E26=0,0,Dangchung!M26)</f>
        <v>Hòa Hảo</v>
      </c>
      <c r="N26" s="123" t="str">
        <f>IF($E26=0,0,Dangchung!N26)</f>
        <v>Nông dân</v>
      </c>
      <c r="O26" s="123" t="str">
        <f>IF($E26=0,0,Dangchung!O26)</f>
        <v>Khánh Hòa-AG</v>
      </c>
      <c r="P26" s="123" t="str">
        <f>IF($E26=0,0,Dangchung!P26)</f>
        <v>Khánh Hòa-Châu Phú</v>
      </c>
      <c r="Q26" s="123" t="str">
        <f>IF($E26=0,0,Dangchung!Q26)</f>
        <v>34-Phạm Ngũ Lão, Bình Hòa, Cái Dầu</v>
      </c>
      <c r="R26" s="123" t="str">
        <f>IF($E26=0,0,Dangchung!R26)</f>
        <v>BTTH/85/-</v>
      </c>
      <c r="S26" s="123" t="str">
        <f>IF($E26=0,0,Dangchung!S26)</f>
        <v>?</v>
      </c>
      <c r="T26" s="123" t="str">
        <f>IF($E26=0,0,Dangchung!T26)</f>
        <v>ĐHTC/Văn/92/-</v>
      </c>
      <c r="U26" s="123">
        <f>IF($E26=0,0,Dangchung!U26)</f>
        <v>0</v>
      </c>
      <c r="V26" s="123" t="str">
        <f>IF($E26=0,0,Dangchung!V26)</f>
        <v>ĐHTC</v>
      </c>
      <c r="W26" s="241">
        <f>IF($E26=0,0,Dangchung!W26)</f>
        <v>0</v>
      </c>
      <c r="X26" s="241" t="str">
        <f>IF($E26=0,0,Dangchung!X26)</f>
        <v>TC/04/TB</v>
      </c>
      <c r="Y26" s="241" t="str">
        <f>IF($E26=0,0,Dangchung!Y26)</f>
        <v>A/07/Khá</v>
      </c>
      <c r="Z26" s="241" t="str">
        <f>IF($E26=0,0,Dangchung!Z26)</f>
        <v>B/Anh/16/TB</v>
      </c>
      <c r="AA26" s="241">
        <f>IF($E26=0,0,Dangchung!AA26)</f>
        <v>0</v>
      </c>
      <c r="AB26" s="241">
        <f>IF($E26=0,0,Dangchung!AB26)</f>
        <v>0</v>
      </c>
      <c r="AC26" s="241">
        <f>IF($E26=0,0,Dangchung!AC26)</f>
        <v>0</v>
      </c>
      <c r="AD26" s="241" t="str">
        <f>IF($E26=0,0,Dangchung!AD26)</f>
        <v>CC4/13/Khá</v>
      </c>
      <c r="AE26" s="241">
        <f>IF($E26=0,0,Dangchung!AE26)</f>
        <v>351232585</v>
      </c>
      <c r="AF26" s="241" t="str">
        <f>IF($E26=0,0,Dangchung!AF26)</f>
        <v>26/12/2013</v>
      </c>
      <c r="AG26" s="241" t="str">
        <f>IF($E26=0,0,Dangchung!AG26)</f>
        <v>17/10/1984</v>
      </c>
      <c r="AH26" s="241" t="str">
        <f>IF($E26=0,0,Dangchung!AH26)</f>
        <v>23/01/1997</v>
      </c>
      <c r="AI26" s="241" t="str">
        <f>IF($E26=0,0,Dangchung!AI26)</f>
        <v>31.015 010</v>
      </c>
      <c r="AJ26" s="241">
        <f>IF($E26=0,0,Dangchung!AJ26)</f>
        <v>1997</v>
      </c>
      <c r="AK26" s="241" t="str">
        <f>IF($E26=0,0,Dangchung!AK26)</f>
        <v>0974230187</v>
      </c>
      <c r="AL26" s="212"/>
    </row>
    <row r="27" spans="1:38" s="118" customFormat="1" hidden="1" x14ac:dyDescent="0.25">
      <c r="A27" s="220"/>
      <c r="B27" s="128">
        <f>IF(E27=0,0,MAX($B$8:B26)+1)</f>
        <v>0</v>
      </c>
      <c r="C27" s="132">
        <f>Dangchung!C27</f>
        <v>0</v>
      </c>
      <c r="D27" s="128">
        <f>IF(Dangchung!D27&lt;&gt;0,0,0)</f>
        <v>0</v>
      </c>
      <c r="E27" s="128">
        <f>IF(Dangchung!D27&lt;&gt;0,0,Dangchung!E27)</f>
        <v>0</v>
      </c>
      <c r="F27" s="123">
        <f>IF($E27=0,0,Dangchung!F27)</f>
        <v>0</v>
      </c>
      <c r="G27" s="123">
        <f>IF($E27=0,0,Dangchung!G27)</f>
        <v>0</v>
      </c>
      <c r="H27" s="123">
        <f>IF($E27=0,0,Dangchung!H27)</f>
        <v>0</v>
      </c>
      <c r="I27" s="125">
        <f>IF($E27=0,0,Dangchung!I27)</f>
        <v>0</v>
      </c>
      <c r="J27" s="125">
        <f>IF($E27=0,0,Dangchung!J27)</f>
        <v>0</v>
      </c>
      <c r="K27" s="123">
        <f>IF($E27=0,0,Dangchung!K27)</f>
        <v>0</v>
      </c>
      <c r="L27" s="123">
        <f>IF($E27=0,0,Dangchung!L27)</f>
        <v>0</v>
      </c>
      <c r="M27" s="123">
        <f>IF($E27=0,0,Dangchung!M27)</f>
        <v>0</v>
      </c>
      <c r="N27" s="123">
        <f>IF($E27=0,0,Dangchung!N27)</f>
        <v>0</v>
      </c>
      <c r="O27" s="123">
        <f>IF($E27=0,0,Dangchung!O27)</f>
        <v>0</v>
      </c>
      <c r="P27" s="123">
        <f>IF($E27=0,0,Dangchung!P27)</f>
        <v>0</v>
      </c>
      <c r="Q27" s="123">
        <f>IF($E27=0,0,Dangchung!Q27)</f>
        <v>0</v>
      </c>
      <c r="R27" s="123">
        <f>IF($E27=0,0,Dangchung!R27)</f>
        <v>0</v>
      </c>
      <c r="S27" s="123">
        <f>IF($E27=0,0,Dangchung!S27)</f>
        <v>0</v>
      </c>
      <c r="T27" s="123">
        <f>IF($E27=0,0,Dangchung!T27)</f>
        <v>0</v>
      </c>
      <c r="U27" s="123">
        <f>IF($E27=0,0,Dangchung!U27)</f>
        <v>0</v>
      </c>
      <c r="V27" s="123">
        <f>IF($E27=0,0,Dangchung!V27)</f>
        <v>0</v>
      </c>
      <c r="W27" s="241">
        <f>IF($E27=0,0,Dangchung!W27)</f>
        <v>0</v>
      </c>
      <c r="X27" s="241">
        <f>IF($E27=0,0,Dangchung!X27)</f>
        <v>0</v>
      </c>
      <c r="Y27" s="241">
        <f>IF($E27=0,0,Dangchung!Y27)</f>
        <v>0</v>
      </c>
      <c r="Z27" s="241">
        <f>IF($E27=0,0,Dangchung!Z27)</f>
        <v>0</v>
      </c>
      <c r="AA27" s="241">
        <f>IF($E27=0,0,Dangchung!AA27)</f>
        <v>0</v>
      </c>
      <c r="AB27" s="241">
        <f>IF($E27=0,0,Dangchung!AB27)</f>
        <v>0</v>
      </c>
      <c r="AC27" s="241">
        <f>IF($E27=0,0,Dangchung!AC27)</f>
        <v>0</v>
      </c>
      <c r="AD27" s="241">
        <f>IF($E27=0,0,Dangchung!AD27)</f>
        <v>0</v>
      </c>
      <c r="AE27" s="241">
        <f>IF($E27=0,0,Dangchung!AE27)</f>
        <v>0</v>
      </c>
      <c r="AF27" s="241">
        <f>IF($E27=0,0,Dangchung!AF27)</f>
        <v>0</v>
      </c>
      <c r="AG27" s="241">
        <f>IF($E27=0,0,Dangchung!AG27)</f>
        <v>0</v>
      </c>
      <c r="AH27" s="241">
        <f>IF($E27=0,0,Dangchung!AH27)</f>
        <v>0</v>
      </c>
      <c r="AI27" s="241">
        <f>IF($E27=0,0,Dangchung!AI27)</f>
        <v>0</v>
      </c>
      <c r="AJ27" s="241">
        <f>IF($E27=0,0,Dangchung!AJ27)</f>
        <v>0</v>
      </c>
      <c r="AK27" s="241">
        <f>IF($E27=0,0,Dangchung!AK27)</f>
        <v>0</v>
      </c>
      <c r="AL27" s="212"/>
    </row>
    <row r="28" spans="1:38" s="118" customFormat="1" x14ac:dyDescent="0.25">
      <c r="A28" s="220"/>
      <c r="B28" s="128">
        <f>IF(E28=0,0,MAX($B$8:B27)+1)</f>
        <v>14</v>
      </c>
      <c r="C28" s="132">
        <f>Dangchung!C28</f>
        <v>7</v>
      </c>
      <c r="D28" s="128">
        <f>IF(Dangchung!D28&lt;&gt;0,0,0)</f>
        <v>0</v>
      </c>
      <c r="E28" s="128" t="str">
        <f>IF(Dangchung!D28&lt;&gt;0,0,Dangchung!E28)</f>
        <v>Nguyễn Thị Kim Nghe</v>
      </c>
      <c r="F28" s="123" t="str">
        <f>IF($E28=0,0,Dangchung!F28)</f>
        <v>x</v>
      </c>
      <c r="G28" s="123">
        <f>IF($E28=0,0,Dangchung!G28)</f>
        <v>0</v>
      </c>
      <c r="H28" s="123" t="str">
        <f>IF($E28=0,0,Dangchung!H28)</f>
        <v>19/05/1969</v>
      </c>
      <c r="I28" s="125">
        <f>IF($E28=0,0,Dangchung!I28)</f>
        <v>0</v>
      </c>
      <c r="J28" s="125">
        <f>IF($E28=0,0,Dangchung!J28)</f>
        <v>1969</v>
      </c>
      <c r="K28" s="123" t="str">
        <f>IF($E28=0,0,Dangchung!K28)</f>
        <v>GV</v>
      </c>
      <c r="L28" s="123">
        <f>IF($E28=0,0,Dangchung!L28)</f>
        <v>0</v>
      </c>
      <c r="M28" s="123" t="str">
        <f>IF($E28=0,0,Dangchung!M28)</f>
        <v>Hòa Hảo</v>
      </c>
      <c r="N28" s="123" t="str">
        <f>IF($E28=0,0,Dangchung!N28)</f>
        <v>Nông dân</v>
      </c>
      <c r="O28" s="123" t="str">
        <f>IF($E28=0,0,Dangchung!O28)</f>
        <v>Bình Mỹ-An Giang</v>
      </c>
      <c r="P28" s="123" t="str">
        <f>IF($E28=0,0,Dangchung!P28)</f>
        <v>Bình Long-Châu Phú</v>
      </c>
      <c r="Q28" s="123" t="str">
        <f>IF($E28=0,0,Dangchung!Q28)</f>
        <v>665/19 Bình Hưng I-Bình Mỹ</v>
      </c>
      <c r="R28" s="123" t="str">
        <f>IF($E28=0,0,Dangchung!R28)</f>
        <v>PTTH/86/TB</v>
      </c>
      <c r="S28" s="123" t="str">
        <f>IF($E28=0,0,Dangchung!S28)</f>
        <v>CĐ2/Văn-KTPT/89/TB</v>
      </c>
      <c r="T28" s="123" t="str">
        <f>IF($E28=0,0,Dangchung!T28)</f>
        <v>ĐHTX/Văn/02/TB</v>
      </c>
      <c r="U28" s="123" t="str">
        <f>IF($E28=0,0,Dangchung!U28)</f>
        <v>KTPV/05/Khá</v>
      </c>
      <c r="V28" s="123" t="str">
        <f>IF($E28=0,0,Dangchung!V28)</f>
        <v>ĐHTX</v>
      </c>
      <c r="W28" s="241">
        <f>IF($E28=0,0,Dangchung!W28)</f>
        <v>0</v>
      </c>
      <c r="X28" s="241">
        <f>IF($E28=0,0,Dangchung!X28)</f>
        <v>0</v>
      </c>
      <c r="Y28" s="241" t="str">
        <f>IF($E28=0,0,Dangchung!Y28)</f>
        <v>A/07/Khá</v>
      </c>
      <c r="Z28" s="241">
        <f>IF($E28=0,0,Dangchung!Z28)</f>
        <v>0</v>
      </c>
      <c r="AA28" s="241">
        <f>IF($E28=0,0,Dangchung!AA28)</f>
        <v>0</v>
      </c>
      <c r="AB28" s="241">
        <f>IF($E28=0,0,Dangchung!AB28)</f>
        <v>0</v>
      </c>
      <c r="AC28" s="241">
        <f>IF($E28=0,0,Dangchung!AC28)</f>
        <v>0</v>
      </c>
      <c r="AD28" s="241" t="str">
        <f>IF($E28=0,0,Dangchung!AD28)</f>
        <v>CN/10/Khá</v>
      </c>
      <c r="AE28" s="241">
        <f>IF($E28=0,0,Dangchung!AE28)</f>
        <v>350828493</v>
      </c>
      <c r="AF28" s="241" t="str">
        <f>IF($E28=0,0,Dangchung!AF28)</f>
        <v>20/10/2016</v>
      </c>
      <c r="AG28" s="241" t="str">
        <f>IF($E28=0,0,Dangchung!AG28)</f>
        <v>01/09/1988</v>
      </c>
      <c r="AH28" s="241" t="str">
        <f>IF($E28=0,0,Dangchung!AH28)</f>
        <v>24/07/2007</v>
      </c>
      <c r="AI28" s="241" t="str">
        <f>IF($E28=0,0,Dangchung!AI28)</f>
        <v>31.035 132</v>
      </c>
      <c r="AJ28" s="241">
        <f>IF($E28=0,0,Dangchung!AJ28)</f>
        <v>2007</v>
      </c>
      <c r="AK28" s="241" t="str">
        <f>IF($E28=0,0,Dangchung!AK28)</f>
        <v>0367667670</v>
      </c>
      <c r="AL28" s="212"/>
    </row>
    <row r="29" spans="1:38" s="118" customFormat="1" hidden="1" x14ac:dyDescent="0.25">
      <c r="A29" s="220"/>
      <c r="B29" s="128">
        <f>IF(E29=0,0,MAX($B$8:B28)+1)</f>
        <v>0</v>
      </c>
      <c r="C29" s="132">
        <f>Dangchung!C29</f>
        <v>8</v>
      </c>
      <c r="D29" s="128">
        <f>IF(Dangchung!D29&lt;&gt;0,0,0)</f>
        <v>0</v>
      </c>
      <c r="E29" s="128">
        <f>IF(Dangchung!D29&lt;&gt;0,0,Dangchung!E29)</f>
        <v>0</v>
      </c>
      <c r="F29" s="123">
        <f>IF($E29=0,0,Dangchung!F29)</f>
        <v>0</v>
      </c>
      <c r="G29" s="123">
        <f>IF($E29=0,0,Dangchung!G29)</f>
        <v>0</v>
      </c>
      <c r="H29" s="123">
        <f>IF($E29=0,0,Dangchung!H29)</f>
        <v>0</v>
      </c>
      <c r="I29" s="125">
        <f>IF($E29=0,0,Dangchung!I29)</f>
        <v>0</v>
      </c>
      <c r="J29" s="125">
        <f>IF($E29=0,0,Dangchung!J29)</f>
        <v>0</v>
      </c>
      <c r="K29" s="123">
        <f>IF($E29=0,0,Dangchung!K29)</f>
        <v>0</v>
      </c>
      <c r="L29" s="123">
        <f>IF($E29=0,0,Dangchung!L29)</f>
        <v>0</v>
      </c>
      <c r="M29" s="123">
        <f>IF($E29=0,0,Dangchung!M29)</f>
        <v>0</v>
      </c>
      <c r="N29" s="123">
        <f>IF($E29=0,0,Dangchung!N29)</f>
        <v>0</v>
      </c>
      <c r="O29" s="123">
        <f>IF($E29=0,0,Dangchung!O29)</f>
        <v>0</v>
      </c>
      <c r="P29" s="123">
        <f>IF($E29=0,0,Dangchung!P29)</f>
        <v>0</v>
      </c>
      <c r="Q29" s="123">
        <f>IF($E29=0,0,Dangchung!Q29)</f>
        <v>0</v>
      </c>
      <c r="R29" s="123">
        <f>IF($E29=0,0,Dangchung!R29)</f>
        <v>0</v>
      </c>
      <c r="S29" s="123">
        <f>IF($E29=0,0,Dangchung!S29)</f>
        <v>0</v>
      </c>
      <c r="T29" s="123">
        <f>IF($E29=0,0,Dangchung!T29)</f>
        <v>0</v>
      </c>
      <c r="U29" s="123">
        <f>IF($E29=0,0,Dangchung!U29)</f>
        <v>0</v>
      </c>
      <c r="V29" s="123">
        <f>IF($E29=0,0,Dangchung!V29)</f>
        <v>0</v>
      </c>
      <c r="W29" s="241">
        <f>IF($E29=0,0,Dangchung!W29)</f>
        <v>0</v>
      </c>
      <c r="X29" s="241">
        <f>IF($E29=0,0,Dangchung!X29)</f>
        <v>0</v>
      </c>
      <c r="Y29" s="241">
        <f>IF($E29=0,0,Dangchung!Y29)</f>
        <v>0</v>
      </c>
      <c r="Z29" s="241">
        <f>IF($E29=0,0,Dangchung!Z29)</f>
        <v>0</v>
      </c>
      <c r="AA29" s="241">
        <f>IF($E29=0,0,Dangchung!AA29)</f>
        <v>0</v>
      </c>
      <c r="AB29" s="241">
        <f>IF($E29=0,0,Dangchung!AB29)</f>
        <v>0</v>
      </c>
      <c r="AC29" s="241">
        <f>IF($E29=0,0,Dangchung!AC29)</f>
        <v>0</v>
      </c>
      <c r="AD29" s="241">
        <f>IF($E29=0,0,Dangchung!AD29)</f>
        <v>0</v>
      </c>
      <c r="AE29" s="241">
        <f>IF($E29=0,0,Dangchung!AE29)</f>
        <v>0</v>
      </c>
      <c r="AF29" s="241">
        <f>IF($E29=0,0,Dangchung!AF29)</f>
        <v>0</v>
      </c>
      <c r="AG29" s="241">
        <f>IF($E29=0,0,Dangchung!AG29)</f>
        <v>0</v>
      </c>
      <c r="AH29" s="241">
        <f>IF($E29=0,0,Dangchung!AH29)</f>
        <v>0</v>
      </c>
      <c r="AI29" s="241">
        <f>IF($E29=0,0,Dangchung!AI29)</f>
        <v>0</v>
      </c>
      <c r="AJ29" s="241">
        <f>IF($E29=0,0,Dangchung!AJ29)</f>
        <v>0</v>
      </c>
      <c r="AK29" s="241">
        <f>IF($E29=0,0,Dangchung!AK29)</f>
        <v>0</v>
      </c>
      <c r="AL29" s="212"/>
    </row>
    <row r="30" spans="1:38" s="118" customFormat="1" x14ac:dyDescent="0.25">
      <c r="A30" s="220"/>
      <c r="B30" s="128">
        <f>IF(E30=0,0,MAX($B$8:B29)+1)</f>
        <v>15</v>
      </c>
      <c r="C30" s="132">
        <f>Dangchung!C30</f>
        <v>9</v>
      </c>
      <c r="D30" s="128">
        <f>IF(Dangchung!D30&lt;&gt;0,0,0)</f>
        <v>0</v>
      </c>
      <c r="E30" s="128" t="str">
        <f>IF(Dangchung!D30&lt;&gt;0,0,Dangchung!E30)</f>
        <v>Trần Khắc Cường</v>
      </c>
      <c r="F30" s="123">
        <f>IF($E30=0,0,Dangchung!F30)</f>
        <v>0</v>
      </c>
      <c r="G30" s="123" t="str">
        <f>IF($E30=0,0,Dangchung!G30)</f>
        <v>25/12/1960</v>
      </c>
      <c r="H30" s="123">
        <f>IF($E30=0,0,Dangchung!H30)</f>
        <v>0</v>
      </c>
      <c r="I30" s="125">
        <f>IF($E30=0,0,Dangchung!I30)</f>
        <v>1960</v>
      </c>
      <c r="J30" s="125">
        <f>IF($E30=0,0,Dangchung!J30)</f>
        <v>0</v>
      </c>
      <c r="K30" s="123" t="str">
        <f>IF($E30=0,0,Dangchung!K30)</f>
        <v>GV</v>
      </c>
      <c r="L30" s="123">
        <f>IF($E30=0,0,Dangchung!L30)</f>
        <v>0</v>
      </c>
      <c r="M30" s="123" t="str">
        <f>IF($E30=0,0,Dangchung!M30)</f>
        <v>Phật</v>
      </c>
      <c r="N30" s="123" t="str">
        <f>IF($E30=0,0,Dangchung!N30)</f>
        <v>Tiểu thương</v>
      </c>
      <c r="O30" s="123" t="str">
        <f>IF($E30=0,0,Dangchung!O30)</f>
        <v>An Phú-Tịnh Biên</v>
      </c>
      <c r="P30" s="123" t="str">
        <f>IF($E30=0,0,Dangchung!P30)</f>
        <v>An Phú-Tịnh Biên</v>
      </c>
      <c r="Q30" s="123" t="str">
        <f>IF($E30=0,0,Dangchung!Q30)</f>
        <v>251/1 Vĩnh Lộc-Cái Dầu</v>
      </c>
      <c r="R30" s="123" t="str">
        <f>IF($E30=0,0,Dangchung!R30)</f>
        <v>BTTH/03/TB</v>
      </c>
      <c r="S30" s="123" t="str">
        <f>IF($E30=0,0,Dangchung!S30)</f>
        <v>THSP3/80</v>
      </c>
      <c r="T30" s="123" t="str">
        <f>IF($E30=0,0,Dangchung!T30)</f>
        <v>CĐ2/Văn-KTPT/83/TB</v>
      </c>
      <c r="U30" s="123" t="str">
        <f>IF($E30=0,0,Dangchung!U30)</f>
        <v>CĐCT/Văn/96/TB</v>
      </c>
      <c r="V30" s="123" t="str">
        <f>IF($E30=0,0,Dangchung!V30)</f>
        <v>ĐHTX</v>
      </c>
      <c r="W30" s="241" t="str">
        <f>IF($E30=0,0,Dangchung!W30)</f>
        <v>ĐHTX/Văn/00/TB</v>
      </c>
      <c r="X30" s="241">
        <f>IF($E30=0,0,Dangchung!X30)</f>
        <v>0</v>
      </c>
      <c r="Y30" s="241" t="str">
        <f>IF($E30=0,0,Dangchung!Y30)</f>
        <v>A/04/Khá</v>
      </c>
      <c r="Z30" s="241">
        <f>IF($E30=0,0,Dangchung!Z30)</f>
        <v>0</v>
      </c>
      <c r="AA30" s="241">
        <f>IF($E30=0,0,Dangchung!AA30)</f>
        <v>0</v>
      </c>
      <c r="AB30" s="241">
        <f>IF($E30=0,0,Dangchung!AB30)</f>
        <v>0</v>
      </c>
      <c r="AC30" s="241">
        <f>IF($E30=0,0,Dangchung!AC30)</f>
        <v>0</v>
      </c>
      <c r="AD30" s="241" t="str">
        <f>IF($E30=0,0,Dangchung!AD30)</f>
        <v>CN/15/Khá</v>
      </c>
      <c r="AE30" s="241">
        <f>IF($E30=0,0,Dangchung!AE30)</f>
        <v>350610513</v>
      </c>
      <c r="AF30" s="241" t="str">
        <f>IF($E30=0,0,Dangchung!AF30)</f>
        <v>26/07/2013</v>
      </c>
      <c r="AG30" s="241" t="str">
        <f>IF($E30=0,0,Dangchung!AG30)</f>
        <v>01/09/1980</v>
      </c>
      <c r="AH30" s="241" t="str">
        <f>IF($E30=0,0,Dangchung!AH30)</f>
        <v>25/09/2010</v>
      </c>
      <c r="AI30" s="241" t="str">
        <f>IF($E30=0,0,Dangchung!AI30)</f>
        <v>31.045 196</v>
      </c>
      <c r="AJ30" s="241">
        <f>IF($E30=0,0,Dangchung!AJ30)</f>
        <v>2010</v>
      </c>
      <c r="AK30" s="241" t="str">
        <f>IF($E30=0,0,Dangchung!AK30)</f>
        <v>0 766882827</v>
      </c>
      <c r="AL30" s="212"/>
    </row>
    <row r="31" spans="1:38" s="118" customFormat="1" x14ac:dyDescent="0.25">
      <c r="A31" s="220"/>
      <c r="B31" s="128">
        <f>IF(E31=0,0,MAX($B$8:B30)+1)</f>
        <v>16</v>
      </c>
      <c r="C31" s="132">
        <f>Dangchung!C31</f>
        <v>10</v>
      </c>
      <c r="D31" s="128">
        <f>IF(Dangchung!D31&lt;&gt;0,0,0)</f>
        <v>0</v>
      </c>
      <c r="E31" s="128" t="str">
        <f>IF(Dangchung!D31&lt;&gt;0,0,Dangchung!E31)</f>
        <v>Phạm Thị Ba</v>
      </c>
      <c r="F31" s="123" t="str">
        <f>IF($E31=0,0,Dangchung!F31)</f>
        <v>x</v>
      </c>
      <c r="G31" s="123">
        <f>IF($E31=0,0,Dangchung!G31)</f>
        <v>0</v>
      </c>
      <c r="H31" s="123" t="str">
        <f>IF($E31=0,0,Dangchung!H31)</f>
        <v>27/06/1965</v>
      </c>
      <c r="I31" s="125">
        <f>IF($E31=0,0,Dangchung!I31)</f>
        <v>0</v>
      </c>
      <c r="J31" s="125">
        <f>IF($E31=0,0,Dangchung!J31)</f>
        <v>1965</v>
      </c>
      <c r="K31" s="123" t="str">
        <f>IF($E31=0,0,Dangchung!K31)</f>
        <v>GV</v>
      </c>
      <c r="L31" s="123">
        <f>IF($E31=0,0,Dangchung!L31)</f>
        <v>0</v>
      </c>
      <c r="M31" s="123" t="str">
        <f>IF($E31=0,0,Dangchung!M31)</f>
        <v>Phật</v>
      </c>
      <c r="N31" s="123" t="str">
        <f>IF($E31=0,0,Dangchung!N31)</f>
        <v>Nông dân</v>
      </c>
      <c r="O31" s="123" t="str">
        <f>IF($E31=0,0,Dangchung!O31)</f>
        <v>Vĩnh Xương-An Giang</v>
      </c>
      <c r="P31" s="123" t="str">
        <f>IF($E31=0,0,Dangchung!P31)</f>
        <v>Long An-Tân Châu</v>
      </c>
      <c r="Q31" s="123" t="str">
        <f>IF($E31=0,0,Dangchung!Q31)</f>
        <v>203/7 Vĩnh Phú-VTT</v>
      </c>
      <c r="R31" s="123" t="str">
        <f>IF($E31=0,0,Dangchung!R31)</f>
        <v>PTTH/84/TB</v>
      </c>
      <c r="S31" s="123" t="str">
        <f>IF($E31=0,0,Dangchung!S31)</f>
        <v>CĐ3/Văn-KTPT/88/TB</v>
      </c>
      <c r="T31" s="123" t="str">
        <f>IF($E31=0,0,Dangchung!T31)</f>
        <v>ĐHTX/Văn/04/TBK</v>
      </c>
      <c r="U31" s="123">
        <f>IF($E31=0,0,Dangchung!U31)</f>
        <v>0</v>
      </c>
      <c r="V31" s="123" t="str">
        <f>IF($E31=0,0,Dangchung!V31)</f>
        <v>ĐHTX</v>
      </c>
      <c r="W31" s="241">
        <f>IF($E31=0,0,Dangchung!W31)</f>
        <v>0</v>
      </c>
      <c r="X31" s="241">
        <f>IF($E31=0,0,Dangchung!X31)</f>
        <v>0</v>
      </c>
      <c r="Y31" s="241" t="str">
        <f>IF($E31=0,0,Dangchung!Y31)</f>
        <v>A/08/Giỏi</v>
      </c>
      <c r="Z31" s="241">
        <f>IF($E31=0,0,Dangchung!Z31)</f>
        <v>0</v>
      </c>
      <c r="AA31" s="241">
        <f>IF($E31=0,0,Dangchung!AA31)</f>
        <v>0</v>
      </c>
      <c r="AB31" s="241">
        <f>IF($E31=0,0,Dangchung!AB31)</f>
        <v>0</v>
      </c>
      <c r="AC31" s="241">
        <f>IF($E31=0,0,Dangchung!AC31)</f>
        <v>0</v>
      </c>
      <c r="AD31" s="241" t="str">
        <f>IF($E31=0,0,Dangchung!AD31)</f>
        <v>CN/10/Giỏi</v>
      </c>
      <c r="AE31" s="241">
        <f>IF($E31=0,0,Dangchung!AE31)</f>
        <v>350725979</v>
      </c>
      <c r="AF31" s="241" t="str">
        <f>IF($E31=0,0,Dangchung!AF31)</f>
        <v>13/07/2010</v>
      </c>
      <c r="AG31" s="241" t="str">
        <f>IF($E31=0,0,Dangchung!AG31)</f>
        <v>01/09/1988</v>
      </c>
      <c r="AH31" s="241" t="str">
        <f>IF($E31=0,0,Dangchung!AH31)</f>
        <v>05/10/2005</v>
      </c>
      <c r="AI31" s="241" t="str">
        <f>IF($E31=0,0,Dangchung!AI31)</f>
        <v>31.031 054</v>
      </c>
      <c r="AJ31" s="241">
        <f>IF($E31=0,0,Dangchung!AJ31)</f>
        <v>2005</v>
      </c>
      <c r="AK31" s="241" t="str">
        <f>IF($E31=0,0,Dangchung!AK31)</f>
        <v>0355137981</v>
      </c>
      <c r="AL31" s="212"/>
    </row>
    <row r="32" spans="1:38" s="118" customFormat="1" hidden="1" x14ac:dyDescent="0.25">
      <c r="A32" s="220"/>
      <c r="B32" s="128">
        <f>IF(E32=0,0,MAX($B$8:B31)+1)</f>
        <v>0</v>
      </c>
      <c r="C32" s="132">
        <f>Dangchung!C32</f>
        <v>11</v>
      </c>
      <c r="D32" s="128">
        <f>IF(Dangchung!D32&lt;&gt;0,0,0)</f>
        <v>0</v>
      </c>
      <c r="E32" s="128">
        <f>IF(Dangchung!D32&lt;&gt;0,0,Dangchung!E32)</f>
        <v>0</v>
      </c>
      <c r="F32" s="123">
        <f>IF($E32=0,0,Dangchung!F32)</f>
        <v>0</v>
      </c>
      <c r="G32" s="123">
        <f>IF($E32=0,0,Dangchung!G32)</f>
        <v>0</v>
      </c>
      <c r="H32" s="123">
        <f>IF($E32=0,0,Dangchung!H32)</f>
        <v>0</v>
      </c>
      <c r="I32" s="125">
        <f>IF($E32=0,0,Dangchung!I32)</f>
        <v>0</v>
      </c>
      <c r="J32" s="125">
        <f>IF($E32=0,0,Dangchung!J32)</f>
        <v>0</v>
      </c>
      <c r="K32" s="123">
        <f>IF($E32=0,0,Dangchung!K32)</f>
        <v>0</v>
      </c>
      <c r="L32" s="123">
        <f>IF($E32=0,0,Dangchung!L32)</f>
        <v>0</v>
      </c>
      <c r="M32" s="123">
        <f>IF($E32=0,0,Dangchung!M32)</f>
        <v>0</v>
      </c>
      <c r="N32" s="123">
        <f>IF($E32=0,0,Dangchung!N32)</f>
        <v>0</v>
      </c>
      <c r="O32" s="123">
        <f>IF($E32=0,0,Dangchung!O32)</f>
        <v>0</v>
      </c>
      <c r="P32" s="123">
        <f>IF($E32=0,0,Dangchung!P32)</f>
        <v>0</v>
      </c>
      <c r="Q32" s="123">
        <f>IF($E32=0,0,Dangchung!Q32)</f>
        <v>0</v>
      </c>
      <c r="R32" s="123">
        <f>IF($E32=0,0,Dangchung!R32)</f>
        <v>0</v>
      </c>
      <c r="S32" s="123">
        <f>IF($E32=0,0,Dangchung!S32)</f>
        <v>0</v>
      </c>
      <c r="T32" s="123">
        <f>IF($E32=0,0,Dangchung!T32)</f>
        <v>0</v>
      </c>
      <c r="U32" s="123">
        <f>IF($E32=0,0,Dangchung!U32)</f>
        <v>0</v>
      </c>
      <c r="V32" s="123">
        <f>IF($E32=0,0,Dangchung!V32)</f>
        <v>0</v>
      </c>
      <c r="W32" s="241">
        <f>IF($E32=0,0,Dangchung!W32)</f>
        <v>0</v>
      </c>
      <c r="X32" s="241">
        <f>IF($E32=0,0,Dangchung!X32)</f>
        <v>0</v>
      </c>
      <c r="Y32" s="241">
        <f>IF($E32=0,0,Dangchung!Y32)</f>
        <v>0</v>
      </c>
      <c r="Z32" s="241">
        <f>IF($E32=0,0,Dangchung!Z32)</f>
        <v>0</v>
      </c>
      <c r="AA32" s="241">
        <f>IF($E32=0,0,Dangchung!AA32)</f>
        <v>0</v>
      </c>
      <c r="AB32" s="241">
        <f>IF($E32=0,0,Dangchung!AB32)</f>
        <v>0</v>
      </c>
      <c r="AC32" s="241">
        <f>IF($E32=0,0,Dangchung!AC32)</f>
        <v>0</v>
      </c>
      <c r="AD32" s="241">
        <f>IF($E32=0,0,Dangchung!AD32)</f>
        <v>0</v>
      </c>
      <c r="AE32" s="241">
        <f>IF($E32=0,0,Dangchung!AE32)</f>
        <v>0</v>
      </c>
      <c r="AF32" s="241">
        <f>IF($E32=0,0,Dangchung!AF32)</f>
        <v>0</v>
      </c>
      <c r="AG32" s="241">
        <f>IF($E32=0,0,Dangchung!AG32)</f>
        <v>0</v>
      </c>
      <c r="AH32" s="241">
        <f>IF($E32=0,0,Dangchung!AH32)</f>
        <v>0</v>
      </c>
      <c r="AI32" s="241">
        <f>IF($E32=0,0,Dangchung!AI32)</f>
        <v>0</v>
      </c>
      <c r="AJ32" s="241">
        <f>IF($E32=0,0,Dangchung!AJ32)</f>
        <v>0</v>
      </c>
      <c r="AK32" s="241">
        <f>IF($E32=0,0,Dangchung!AK32)</f>
        <v>0</v>
      </c>
      <c r="AL32" s="212"/>
    </row>
    <row r="33" spans="1:38" s="118" customFormat="1" hidden="1" x14ac:dyDescent="0.25">
      <c r="A33" s="220"/>
      <c r="B33" s="128">
        <f>IF(E33=0,0,MAX($B$8:B32)+1)</f>
        <v>0</v>
      </c>
      <c r="C33" s="143">
        <f>Dangchung!C33</f>
        <v>12</v>
      </c>
      <c r="D33" s="142">
        <f>IF(Dangchung!D33&lt;&gt;0,0,0)</f>
        <v>0</v>
      </c>
      <c r="E33" s="142">
        <f>IF(Dangchung!D33&lt;&gt;0,0,Dangchung!E33)</f>
        <v>0</v>
      </c>
      <c r="F33" s="145">
        <f>IF($E33=0,0,Dangchung!F33)</f>
        <v>0</v>
      </c>
      <c r="G33" s="145">
        <f>IF($E33=0,0,Dangchung!G33)</f>
        <v>0</v>
      </c>
      <c r="H33" s="145">
        <f>IF($E33=0,0,Dangchung!H33)</f>
        <v>0</v>
      </c>
      <c r="I33" s="147">
        <f>IF($E33=0,0,Dangchung!I33)</f>
        <v>0</v>
      </c>
      <c r="J33" s="147">
        <f>IF($E33=0,0,Dangchung!J33)</f>
        <v>0</v>
      </c>
      <c r="K33" s="145">
        <f>IF($E33=0,0,Dangchung!K33)</f>
        <v>0</v>
      </c>
      <c r="L33" s="145">
        <f>IF($E33=0,0,Dangchung!L33)</f>
        <v>0</v>
      </c>
      <c r="M33" s="145">
        <f>IF($E33=0,0,Dangchung!M33)</f>
        <v>0</v>
      </c>
      <c r="N33" s="145">
        <f>IF($E33=0,0,Dangchung!N33)</f>
        <v>0</v>
      </c>
      <c r="O33" s="145">
        <f>IF($E33=0,0,Dangchung!O33)</f>
        <v>0</v>
      </c>
      <c r="P33" s="145">
        <f>IF($E33=0,0,Dangchung!P33)</f>
        <v>0</v>
      </c>
      <c r="Q33" s="145">
        <f>IF($E33=0,0,Dangchung!Q33)</f>
        <v>0</v>
      </c>
      <c r="R33" s="145">
        <f>IF($E33=0,0,Dangchung!R33)</f>
        <v>0</v>
      </c>
      <c r="S33" s="145">
        <f>IF($E33=0,0,Dangchung!S33)</f>
        <v>0</v>
      </c>
      <c r="T33" s="145">
        <f>IF($E33=0,0,Dangchung!T33)</f>
        <v>0</v>
      </c>
      <c r="U33" s="145">
        <f>IF($E33=0,0,Dangchung!U33)</f>
        <v>0</v>
      </c>
      <c r="V33" s="145">
        <f>IF($E33=0,0,Dangchung!V33)</f>
        <v>0</v>
      </c>
      <c r="W33" s="242">
        <f>IF($E33=0,0,Dangchung!W33)</f>
        <v>0</v>
      </c>
      <c r="X33" s="242">
        <f>IF($E33=0,0,Dangchung!X33)</f>
        <v>0</v>
      </c>
      <c r="Y33" s="242">
        <f>IF($E33=0,0,Dangchung!Y33)</f>
        <v>0</v>
      </c>
      <c r="Z33" s="242">
        <f>IF($E33=0,0,Dangchung!Z33)</f>
        <v>0</v>
      </c>
      <c r="AA33" s="242">
        <f>IF($E33=0,0,Dangchung!AA33)</f>
        <v>0</v>
      </c>
      <c r="AB33" s="242">
        <f>IF($E33=0,0,Dangchung!AB33)</f>
        <v>0</v>
      </c>
      <c r="AC33" s="242">
        <f>IF($E33=0,0,Dangchung!AC33)</f>
        <v>0</v>
      </c>
      <c r="AD33" s="242">
        <f>IF($E33=0,0,Dangchung!AD33)</f>
        <v>0</v>
      </c>
      <c r="AE33" s="242">
        <f>IF($E33=0,0,Dangchung!AE33)</f>
        <v>0</v>
      </c>
      <c r="AF33" s="242">
        <f>IF($E33=0,0,Dangchung!AF33)</f>
        <v>0</v>
      </c>
      <c r="AG33" s="242">
        <f>IF($E33=0,0,Dangchung!AG33)</f>
        <v>0</v>
      </c>
      <c r="AH33" s="242">
        <f>IF($E33=0,0,Dangchung!AH33)</f>
        <v>0</v>
      </c>
      <c r="AI33" s="242">
        <f>IF($E33=0,0,Dangchung!AI33)</f>
        <v>0</v>
      </c>
      <c r="AJ33" s="242">
        <f>IF($E33=0,0,Dangchung!AJ33)</f>
        <v>0</v>
      </c>
      <c r="AK33" s="242">
        <f>IF($E33=0,0,Dangchung!AK33)</f>
        <v>0</v>
      </c>
      <c r="AL33" s="212"/>
    </row>
    <row r="34" spans="1:38" x14ac:dyDescent="0.25">
      <c r="A34" s="220"/>
      <c r="B34" s="128">
        <f>IF(E34=0,0,MAX($B$8:B33)+1)</f>
        <v>17</v>
      </c>
      <c r="C34" s="152">
        <f>Dangchung!C34</f>
        <v>1</v>
      </c>
      <c r="D34" s="151">
        <f>IF(Dangchung!D34&lt;&gt;0,0,0)</f>
        <v>0</v>
      </c>
      <c r="E34" s="151" t="str">
        <f>IF(Dangchung!D34&lt;&gt;0,0,Dangchung!E34)</f>
        <v>Trịnh Công Vĩnh</v>
      </c>
      <c r="F34" s="123">
        <f>IF($E34=0,0,Dangchung!F34)</f>
        <v>0</v>
      </c>
      <c r="G34" s="123" t="str">
        <f>IF($E34=0,0,Dangchung!G34)</f>
        <v>09/01/1986</v>
      </c>
      <c r="H34" s="123">
        <f>IF($E34=0,0,Dangchung!H34)</f>
        <v>0</v>
      </c>
      <c r="I34" s="185">
        <f>IF($E34=0,0,Dangchung!I34)</f>
        <v>1986</v>
      </c>
      <c r="J34" s="185">
        <f>IF($E34=0,0,Dangchung!J34)</f>
        <v>0</v>
      </c>
      <c r="K34" s="123" t="str">
        <f>IF($E34=0,0,Dangchung!K34)</f>
        <v>GV</v>
      </c>
      <c r="L34" s="123">
        <f>IF($E34=0,0,Dangchung!L34)</f>
        <v>0</v>
      </c>
      <c r="M34" s="123">
        <f>IF($E34=0,0,Dangchung!M34)</f>
        <v>0</v>
      </c>
      <c r="N34" s="123" t="str">
        <f>IF($E34=0,0,Dangchung!N34)</f>
        <v>Nông dân</v>
      </c>
      <c r="O34" s="123" t="str">
        <f>IF($E34=0,0,Dangchung!O34)</f>
        <v>Vĩnh Thạnh Trung-An Giang</v>
      </c>
      <c r="P34" s="123" t="str">
        <f>IF($E34=0,0,Dangchung!P34)</f>
        <v>Vĩnh Thạnh Trung-Châu Phú</v>
      </c>
      <c r="Q34" s="123" t="str">
        <f>IF($E34=0,0,Dangchung!Q34)</f>
        <v>261/12 Vĩnh Lợi-VTT</v>
      </c>
      <c r="R34" s="123" t="str">
        <f>IF($E34=0,0,Dangchung!R34)</f>
        <v>PTTH/04/TB</v>
      </c>
      <c r="S34" s="123" t="str">
        <f>IF($E34=0,0,Dangchung!S34)</f>
        <v>ĐHCQ/Sử/09/TBK</v>
      </c>
      <c r="T34" s="123">
        <f>IF($E34=0,0,Dangchung!T34)</f>
        <v>0</v>
      </c>
      <c r="U34" s="123">
        <f>IF($E34=0,0,Dangchung!U34)</f>
        <v>0</v>
      </c>
      <c r="V34" s="123" t="str">
        <f>IF($E34=0,0,Dangchung!V34)</f>
        <v>ĐHCQ</v>
      </c>
      <c r="W34" s="241" t="str">
        <f>IF($E34=0,0,Dangchung!W34)</f>
        <v>QLTHCS/19</v>
      </c>
      <c r="X34" s="241" t="str">
        <f>IF($E34=0,0,Dangchung!X34)</f>
        <v>SC/18</v>
      </c>
      <c r="Y34" s="241" t="str">
        <f>IF($E34=0,0,Dangchung!Y34)</f>
        <v>A/09/TB</v>
      </c>
      <c r="Z34" s="241" t="str">
        <f>IF($E34=0,0,Dangchung!Z34)</f>
        <v>B/Anh/09/TB</v>
      </c>
      <c r="AA34" s="241">
        <f>IF($E34=0,0,Dangchung!AA34)</f>
        <v>0</v>
      </c>
      <c r="AB34" s="241">
        <f>IF($E34=0,0,Dangchung!AB34)</f>
        <v>0</v>
      </c>
      <c r="AC34" s="241">
        <f>IF($E34=0,0,Dangchung!AC34)</f>
        <v>0</v>
      </c>
      <c r="AD34" s="241" t="str">
        <f>IF($E34=0,0,Dangchung!AD34)</f>
        <v>CN/11/Khá</v>
      </c>
      <c r="AE34" s="241">
        <f>IF($E34=0,0,Dangchung!AE34)</f>
        <v>351803204</v>
      </c>
      <c r="AF34" s="241" t="str">
        <f>IF($E34=0,0,Dangchung!AF34)</f>
        <v>21/12/2018</v>
      </c>
      <c r="AG34" s="241" t="str">
        <f>IF($E34=0,0,Dangchung!AG34)</f>
        <v>01/09/2012</v>
      </c>
      <c r="AH34" s="241" t="str">
        <f>IF($E34=0,0,Dangchung!AH34)</f>
        <v>24/01/2015</v>
      </c>
      <c r="AI34" s="241" t="str">
        <f>IF($E34=0,0,Dangchung!AI34)</f>
        <v>Chưa thẻ</v>
      </c>
      <c r="AJ34" s="241">
        <f>IF($E34=0,0,Dangchung!AJ34)</f>
        <v>2015</v>
      </c>
      <c r="AK34" s="241" t="str">
        <f>IF($E34=0,0,Dangchung!AK34)</f>
        <v>0387050052</v>
      </c>
      <c r="AL34" s="212"/>
    </row>
    <row r="35" spans="1:38" x14ac:dyDescent="0.25">
      <c r="A35" s="220"/>
      <c r="B35" s="128">
        <f>IF(E35=0,0,MAX($B$8:B34)+1)</f>
        <v>18</v>
      </c>
      <c r="C35" s="163">
        <f>Dangchung!C35</f>
        <v>2</v>
      </c>
      <c r="D35" s="162">
        <f>IF(Dangchung!D35&lt;&gt;0,0,0)</f>
        <v>0</v>
      </c>
      <c r="E35" s="162" t="str">
        <f>IF(Dangchung!D35&lt;&gt;0,0,Dangchung!E35)</f>
        <v>Trần Thị Kim Hương</v>
      </c>
      <c r="F35" s="123" t="str">
        <f>IF($E35=0,0,Dangchung!F35)</f>
        <v>x</v>
      </c>
      <c r="G35" s="123">
        <f>IF($E35=0,0,Dangchung!G35)</f>
        <v>0</v>
      </c>
      <c r="H35" s="123" t="str">
        <f>IF($E35=0,0,Dangchung!H35)</f>
        <v>25/08/1986</v>
      </c>
      <c r="I35" s="125">
        <f>IF($E35=0,0,Dangchung!I35)</f>
        <v>0</v>
      </c>
      <c r="J35" s="125">
        <f>IF($E35=0,0,Dangchung!J35)</f>
        <v>1986</v>
      </c>
      <c r="K35" s="123" t="str">
        <f>IF($E35=0,0,Dangchung!K35)</f>
        <v>GV</v>
      </c>
      <c r="L35" s="123">
        <f>IF($E35=0,0,Dangchung!L35)</f>
        <v>0</v>
      </c>
      <c r="M35" s="123" t="str">
        <f>IF($E35=0,0,Dangchung!M35)</f>
        <v>Hòa Hảo</v>
      </c>
      <c r="N35" s="123" t="str">
        <f>IF($E35=0,0,Dangchung!N35)</f>
        <v>Nông dân</v>
      </c>
      <c r="O35" s="123" t="str">
        <f>IF($E35=0,0,Dangchung!O35)</f>
        <v>Vĩnh Thạnh Trung-An Giang</v>
      </c>
      <c r="P35" s="123" t="str">
        <f>IF($E35=0,0,Dangchung!P35)</f>
        <v>Vĩnh Thạnh Trung-Châu Phú</v>
      </c>
      <c r="Q35" s="123" t="str">
        <f>IF($E35=0,0,Dangchung!Q35)</f>
        <v>3 Thạnh Lợi-VTT</v>
      </c>
      <c r="R35" s="123" t="str">
        <f>IF($E35=0,0,Dangchung!R35)</f>
        <v>PTTH/04/TB</v>
      </c>
      <c r="S35" s="123" t="str">
        <f>IF($E35=0,0,Dangchung!S35)</f>
        <v>CĐ3/Sử-Địa/07/Khá</v>
      </c>
      <c r="T35" s="123" t="str">
        <f>IF($E35=0,0,Dangchung!T35)</f>
        <v>ĐHTX/Sử/11/Khá</v>
      </c>
      <c r="U35" s="123">
        <f>IF($E35=0,0,Dangchung!U35)</f>
        <v>0</v>
      </c>
      <c r="V35" s="123" t="str">
        <f>IF($E35=0,0,Dangchung!V35)</f>
        <v>ĐHTX</v>
      </c>
      <c r="W35" s="241">
        <f>IF($E35=0,0,Dangchung!W35)</f>
        <v>0</v>
      </c>
      <c r="X35" s="241" t="str">
        <f>IF($E35=0,0,Dangchung!X35)</f>
        <v>SC/18</v>
      </c>
      <c r="Y35" s="241" t="str">
        <f>IF($E35=0,0,Dangchung!Y35)</f>
        <v>A/07/Giỏi</v>
      </c>
      <c r="Z35" s="241" t="str">
        <f>IF($E35=0,0,Dangchung!Z35)</f>
        <v>A/Anh/09/Khá</v>
      </c>
      <c r="AA35" s="241">
        <f>IF($E35=0,0,Dangchung!AA35)</f>
        <v>0</v>
      </c>
      <c r="AB35" s="241">
        <f>IF($E35=0,0,Dangchung!AB35)</f>
        <v>0</v>
      </c>
      <c r="AC35" s="241">
        <f>IF($E35=0,0,Dangchung!AC35)</f>
        <v>0</v>
      </c>
      <c r="AD35" s="241" t="str">
        <f>IF($E35=0,0,Dangchung!AD35)</f>
        <v>CC/12/Khá</v>
      </c>
      <c r="AE35" s="241">
        <f>IF($E35=0,0,Dangchung!AE35)</f>
        <v>351782248</v>
      </c>
      <c r="AF35" s="241" t="str">
        <f>IF($E35=0,0,Dangchung!AF35)</f>
        <v>12/04/2005</v>
      </c>
      <c r="AG35" s="241" t="str">
        <f>IF($E35=0,0,Dangchung!AG35)</f>
        <v>01/09/2007</v>
      </c>
      <c r="AH35" s="241" t="str">
        <f>IF($E35=0,0,Dangchung!AH35)</f>
        <v>22/12/2010</v>
      </c>
      <c r="AI35" s="241" t="str">
        <f>IF($E35=0,0,Dangchung!AI35)</f>
        <v>31.045 208</v>
      </c>
      <c r="AJ35" s="241">
        <f>IF($E35=0,0,Dangchung!AJ35)</f>
        <v>2010</v>
      </c>
      <c r="AK35" s="241" t="str">
        <f>IF($E35=0,0,Dangchung!AK35)</f>
        <v>0965606942</v>
      </c>
      <c r="AL35" s="212"/>
    </row>
    <row r="36" spans="1:38" hidden="1" x14ac:dyDescent="0.25">
      <c r="A36" s="220"/>
      <c r="B36" s="128">
        <f>IF(E36=0,0,MAX($B$8:B35)+1)</f>
        <v>0</v>
      </c>
      <c r="C36" s="163">
        <f>Dangchung!C36</f>
        <v>0</v>
      </c>
      <c r="D36" s="162">
        <f>IF(Dangchung!D36&lt;&gt;0,0,0)</f>
        <v>0</v>
      </c>
      <c r="E36" s="162">
        <f>IF(Dangchung!D36&lt;&gt;0,0,Dangchung!E36)</f>
        <v>0</v>
      </c>
      <c r="F36" s="123">
        <f>IF($E36=0,0,Dangchung!F36)</f>
        <v>0</v>
      </c>
      <c r="G36" s="123">
        <f>IF($E36=0,0,Dangchung!G36)</f>
        <v>0</v>
      </c>
      <c r="H36" s="123">
        <f>IF($E36=0,0,Dangchung!H36)</f>
        <v>0</v>
      </c>
      <c r="I36" s="125">
        <f>IF($E36=0,0,Dangchung!I36)</f>
        <v>0</v>
      </c>
      <c r="J36" s="125">
        <f>IF($E36=0,0,Dangchung!J36)</f>
        <v>0</v>
      </c>
      <c r="K36" s="123">
        <f>IF($E36=0,0,Dangchung!K36)</f>
        <v>0</v>
      </c>
      <c r="L36" s="123">
        <f>IF($E36=0,0,Dangchung!L36)</f>
        <v>0</v>
      </c>
      <c r="M36" s="123">
        <f>IF($E36=0,0,Dangchung!M36)</f>
        <v>0</v>
      </c>
      <c r="N36" s="123">
        <f>IF($E36=0,0,Dangchung!N36)</f>
        <v>0</v>
      </c>
      <c r="O36" s="123">
        <f>IF($E36=0,0,Dangchung!O36)</f>
        <v>0</v>
      </c>
      <c r="P36" s="123">
        <f>IF($E36=0,0,Dangchung!P36)</f>
        <v>0</v>
      </c>
      <c r="Q36" s="123">
        <f>IF($E36=0,0,Dangchung!Q36)</f>
        <v>0</v>
      </c>
      <c r="R36" s="123">
        <f>IF($E36=0,0,Dangchung!R36)</f>
        <v>0</v>
      </c>
      <c r="S36" s="123">
        <f>IF($E36=0,0,Dangchung!S36)</f>
        <v>0</v>
      </c>
      <c r="T36" s="123">
        <f>IF($E36=0,0,Dangchung!T36)</f>
        <v>0</v>
      </c>
      <c r="U36" s="123">
        <f>IF($E36=0,0,Dangchung!U36)</f>
        <v>0</v>
      </c>
      <c r="V36" s="123">
        <f>IF($E36=0,0,Dangchung!V36)</f>
        <v>0</v>
      </c>
      <c r="W36" s="241">
        <f>IF($E36=0,0,Dangchung!W36)</f>
        <v>0</v>
      </c>
      <c r="X36" s="241">
        <f>IF($E36=0,0,Dangchung!X36)</f>
        <v>0</v>
      </c>
      <c r="Y36" s="241">
        <f>IF($E36=0,0,Dangchung!Y36)</f>
        <v>0</v>
      </c>
      <c r="Z36" s="241">
        <f>IF($E36=0,0,Dangchung!Z36)</f>
        <v>0</v>
      </c>
      <c r="AA36" s="241">
        <f>IF($E36=0,0,Dangchung!AA36)</f>
        <v>0</v>
      </c>
      <c r="AB36" s="241">
        <f>IF($E36=0,0,Dangchung!AB36)</f>
        <v>0</v>
      </c>
      <c r="AC36" s="241">
        <f>IF($E36=0,0,Dangchung!AC36)</f>
        <v>0</v>
      </c>
      <c r="AD36" s="241">
        <f>IF($E36=0,0,Dangchung!AD36)</f>
        <v>0</v>
      </c>
      <c r="AE36" s="241">
        <f>IF($E36=0,0,Dangchung!AE36)</f>
        <v>0</v>
      </c>
      <c r="AF36" s="241">
        <f>IF($E36=0,0,Dangchung!AF36)</f>
        <v>0</v>
      </c>
      <c r="AG36" s="241">
        <f>IF($E36=0,0,Dangchung!AG36)</f>
        <v>0</v>
      </c>
      <c r="AH36" s="241">
        <f>IF($E36=0,0,Dangchung!AH36)</f>
        <v>0</v>
      </c>
      <c r="AI36" s="241">
        <f>IF($E36=0,0,Dangchung!AI36)</f>
        <v>0</v>
      </c>
      <c r="AJ36" s="241">
        <f>IF($E36=0,0,Dangchung!AJ36)</f>
        <v>0</v>
      </c>
      <c r="AK36" s="241">
        <f>IF($E36=0,0,Dangchung!AK36)</f>
        <v>0</v>
      </c>
      <c r="AL36" s="212"/>
    </row>
    <row r="37" spans="1:38" hidden="1" x14ac:dyDescent="0.25">
      <c r="A37" s="220"/>
      <c r="B37" s="128">
        <f>IF(E37=0,0,MAX($B$8:B36)+1)</f>
        <v>0</v>
      </c>
      <c r="C37" s="163">
        <f>Dangchung!C37</f>
        <v>0</v>
      </c>
      <c r="D37" s="162">
        <f>IF(Dangchung!D37&lt;&gt;0,0,0)</f>
        <v>0</v>
      </c>
      <c r="E37" s="162">
        <f>IF(Dangchung!D37&lt;&gt;0,0,Dangchung!E37)</f>
        <v>0</v>
      </c>
      <c r="F37" s="123">
        <f>IF($E37=0,0,Dangchung!F37)</f>
        <v>0</v>
      </c>
      <c r="G37" s="123">
        <f>IF($E37=0,0,Dangchung!G37)</f>
        <v>0</v>
      </c>
      <c r="H37" s="123">
        <f>IF($E37=0,0,Dangchung!H37)</f>
        <v>0</v>
      </c>
      <c r="I37" s="125">
        <f>IF($E37=0,0,Dangchung!I37)</f>
        <v>0</v>
      </c>
      <c r="J37" s="125">
        <f>IF($E37=0,0,Dangchung!J37)</f>
        <v>0</v>
      </c>
      <c r="K37" s="123">
        <f>IF($E37=0,0,Dangchung!K37)</f>
        <v>0</v>
      </c>
      <c r="L37" s="123">
        <f>IF($E37=0,0,Dangchung!L37)</f>
        <v>0</v>
      </c>
      <c r="M37" s="123">
        <f>IF($E37=0,0,Dangchung!M37)</f>
        <v>0</v>
      </c>
      <c r="N37" s="123">
        <f>IF($E37=0,0,Dangchung!N37)</f>
        <v>0</v>
      </c>
      <c r="O37" s="123">
        <f>IF($E37=0,0,Dangchung!O37)</f>
        <v>0</v>
      </c>
      <c r="P37" s="123">
        <f>IF($E37=0,0,Dangchung!P37)</f>
        <v>0</v>
      </c>
      <c r="Q37" s="123">
        <f>IF($E37=0,0,Dangchung!Q37)</f>
        <v>0</v>
      </c>
      <c r="R37" s="123">
        <f>IF($E37=0,0,Dangchung!R37)</f>
        <v>0</v>
      </c>
      <c r="S37" s="123">
        <f>IF($E37=0,0,Dangchung!S37)</f>
        <v>0</v>
      </c>
      <c r="T37" s="123">
        <f>IF($E37=0,0,Dangchung!T37)</f>
        <v>0</v>
      </c>
      <c r="U37" s="123">
        <f>IF($E37=0,0,Dangchung!U37)</f>
        <v>0</v>
      </c>
      <c r="V37" s="123">
        <f>IF($E37=0,0,Dangchung!V37)</f>
        <v>0</v>
      </c>
      <c r="W37" s="241">
        <f>IF($E37=0,0,Dangchung!W37)</f>
        <v>0</v>
      </c>
      <c r="X37" s="241">
        <f>IF($E37=0,0,Dangchung!X37)</f>
        <v>0</v>
      </c>
      <c r="Y37" s="241">
        <f>IF($E37=0,0,Dangchung!Y37)</f>
        <v>0</v>
      </c>
      <c r="Z37" s="241">
        <f>IF($E37=0,0,Dangchung!Z37)</f>
        <v>0</v>
      </c>
      <c r="AA37" s="241">
        <f>IF($E37=0,0,Dangchung!AA37)</f>
        <v>0</v>
      </c>
      <c r="AB37" s="241">
        <f>IF($E37=0,0,Dangchung!AB37)</f>
        <v>0</v>
      </c>
      <c r="AC37" s="241">
        <f>IF($E37=0,0,Dangchung!AC37)</f>
        <v>0</v>
      </c>
      <c r="AD37" s="241">
        <f>IF($E37=0,0,Dangchung!AD37)</f>
        <v>0</v>
      </c>
      <c r="AE37" s="241">
        <f>IF($E37=0,0,Dangchung!AE37)</f>
        <v>0</v>
      </c>
      <c r="AF37" s="241">
        <f>IF($E37=0,0,Dangchung!AF37)</f>
        <v>0</v>
      </c>
      <c r="AG37" s="241">
        <f>IF($E37=0,0,Dangchung!AG37)</f>
        <v>0</v>
      </c>
      <c r="AH37" s="241">
        <f>IF($E37=0,0,Dangchung!AH37)</f>
        <v>0</v>
      </c>
      <c r="AI37" s="241">
        <f>IF($E37=0,0,Dangchung!AI37)</f>
        <v>0</v>
      </c>
      <c r="AJ37" s="241">
        <f>IF($E37=0,0,Dangchung!AJ37)</f>
        <v>0</v>
      </c>
      <c r="AK37" s="241">
        <f>IF($E37=0,0,Dangchung!AK37)</f>
        <v>0</v>
      </c>
      <c r="AL37" s="212"/>
    </row>
    <row r="38" spans="1:38" hidden="1" x14ac:dyDescent="0.25">
      <c r="A38" s="220"/>
      <c r="B38" s="128">
        <f>IF(E38=0,0,MAX($B$8:B37)+1)</f>
        <v>0</v>
      </c>
      <c r="C38" s="163">
        <f>Dangchung!C38</f>
        <v>0</v>
      </c>
      <c r="D38" s="162">
        <f>IF(Dangchung!D38&lt;&gt;0,0,0)</f>
        <v>0</v>
      </c>
      <c r="E38" s="162">
        <f>IF(Dangchung!D38&lt;&gt;0,0,Dangchung!E38)</f>
        <v>0</v>
      </c>
      <c r="F38" s="123">
        <f>IF($E38=0,0,Dangchung!F38)</f>
        <v>0</v>
      </c>
      <c r="G38" s="123">
        <f>IF($E38=0,0,Dangchung!G38)</f>
        <v>0</v>
      </c>
      <c r="H38" s="123">
        <f>IF($E38=0,0,Dangchung!H38)</f>
        <v>0</v>
      </c>
      <c r="I38" s="125">
        <f>IF($E38=0,0,Dangchung!I38)</f>
        <v>0</v>
      </c>
      <c r="J38" s="125">
        <f>IF($E38=0,0,Dangchung!J38)</f>
        <v>0</v>
      </c>
      <c r="K38" s="123">
        <f>IF($E38=0,0,Dangchung!K38)</f>
        <v>0</v>
      </c>
      <c r="L38" s="123">
        <f>IF($E38=0,0,Dangchung!L38)</f>
        <v>0</v>
      </c>
      <c r="M38" s="123">
        <f>IF($E38=0,0,Dangchung!M38)</f>
        <v>0</v>
      </c>
      <c r="N38" s="123">
        <f>IF($E38=0,0,Dangchung!N38)</f>
        <v>0</v>
      </c>
      <c r="O38" s="123">
        <f>IF($E38=0,0,Dangchung!O38)</f>
        <v>0</v>
      </c>
      <c r="P38" s="123">
        <f>IF($E38=0,0,Dangchung!P38)</f>
        <v>0</v>
      </c>
      <c r="Q38" s="123">
        <f>IF($E38=0,0,Dangchung!Q38)</f>
        <v>0</v>
      </c>
      <c r="R38" s="123">
        <f>IF($E38=0,0,Dangchung!R38)</f>
        <v>0</v>
      </c>
      <c r="S38" s="123">
        <f>IF($E38=0,0,Dangchung!S38)</f>
        <v>0</v>
      </c>
      <c r="T38" s="123">
        <f>IF($E38=0,0,Dangchung!T38)</f>
        <v>0</v>
      </c>
      <c r="U38" s="123">
        <f>IF($E38=0,0,Dangchung!U38)</f>
        <v>0</v>
      </c>
      <c r="V38" s="123">
        <f>IF($E38=0,0,Dangchung!V38)</f>
        <v>0</v>
      </c>
      <c r="W38" s="241">
        <f>IF($E38=0,0,Dangchung!W38)</f>
        <v>0</v>
      </c>
      <c r="X38" s="241">
        <f>IF($E38=0,0,Dangchung!X38)</f>
        <v>0</v>
      </c>
      <c r="Y38" s="241">
        <f>IF($E38=0,0,Dangchung!Y38)</f>
        <v>0</v>
      </c>
      <c r="Z38" s="241">
        <f>IF($E38=0,0,Dangchung!Z38)</f>
        <v>0</v>
      </c>
      <c r="AA38" s="241">
        <f>IF($E38=0,0,Dangchung!AA38)</f>
        <v>0</v>
      </c>
      <c r="AB38" s="241">
        <f>IF($E38=0,0,Dangchung!AB38)</f>
        <v>0</v>
      </c>
      <c r="AC38" s="241">
        <f>IF($E38=0,0,Dangchung!AC38)</f>
        <v>0</v>
      </c>
      <c r="AD38" s="241">
        <f>IF($E38=0,0,Dangchung!AD38)</f>
        <v>0</v>
      </c>
      <c r="AE38" s="241">
        <f>IF($E38=0,0,Dangchung!AE38)</f>
        <v>0</v>
      </c>
      <c r="AF38" s="241">
        <f>IF($E38=0,0,Dangchung!AF38)</f>
        <v>0</v>
      </c>
      <c r="AG38" s="241">
        <f>IF($E38=0,0,Dangchung!AG38)</f>
        <v>0</v>
      </c>
      <c r="AH38" s="241">
        <f>IF($E38=0,0,Dangchung!AH38)</f>
        <v>0</v>
      </c>
      <c r="AI38" s="241">
        <f>IF($E38=0,0,Dangchung!AI38)</f>
        <v>0</v>
      </c>
      <c r="AJ38" s="241">
        <f>IF($E38=0,0,Dangchung!AJ38)</f>
        <v>0</v>
      </c>
      <c r="AK38" s="241">
        <f>IF($E38=0,0,Dangchung!AK38)</f>
        <v>0</v>
      </c>
      <c r="AL38" s="212"/>
    </row>
    <row r="39" spans="1:38" hidden="1" x14ac:dyDescent="0.25">
      <c r="A39" s="220"/>
      <c r="B39" s="128">
        <f>IF(E39=0,0,MAX($B$8:B38)+1)</f>
        <v>0</v>
      </c>
      <c r="C39" s="163">
        <f>Dangchung!C39</f>
        <v>0</v>
      </c>
      <c r="D39" s="162">
        <f>IF(Dangchung!D39&lt;&gt;0,0,0)</f>
        <v>0</v>
      </c>
      <c r="E39" s="162">
        <f>IF(Dangchung!D39&lt;&gt;0,0,Dangchung!E39)</f>
        <v>0</v>
      </c>
      <c r="F39" s="123">
        <f>IF($E39=0,0,Dangchung!F39)</f>
        <v>0</v>
      </c>
      <c r="G39" s="123">
        <f>IF($E39=0,0,Dangchung!G39)</f>
        <v>0</v>
      </c>
      <c r="H39" s="123">
        <f>IF($E39=0,0,Dangchung!H39)</f>
        <v>0</v>
      </c>
      <c r="I39" s="125">
        <f>IF($E39=0,0,Dangchung!I39)</f>
        <v>0</v>
      </c>
      <c r="J39" s="125">
        <f>IF($E39=0,0,Dangchung!J39)</f>
        <v>0</v>
      </c>
      <c r="K39" s="123">
        <f>IF($E39=0,0,Dangchung!K39)</f>
        <v>0</v>
      </c>
      <c r="L39" s="123">
        <f>IF($E39=0,0,Dangchung!L39)</f>
        <v>0</v>
      </c>
      <c r="M39" s="123">
        <f>IF($E39=0,0,Dangchung!M39)</f>
        <v>0</v>
      </c>
      <c r="N39" s="123">
        <f>IF($E39=0,0,Dangchung!N39)</f>
        <v>0</v>
      </c>
      <c r="O39" s="123">
        <f>IF($E39=0,0,Dangchung!O39)</f>
        <v>0</v>
      </c>
      <c r="P39" s="123">
        <f>IF($E39=0,0,Dangchung!P39)</f>
        <v>0</v>
      </c>
      <c r="Q39" s="123">
        <f>IF($E39=0,0,Dangchung!Q39)</f>
        <v>0</v>
      </c>
      <c r="R39" s="123">
        <f>IF($E39=0,0,Dangchung!R39)</f>
        <v>0</v>
      </c>
      <c r="S39" s="123">
        <f>IF($E39=0,0,Dangchung!S39)</f>
        <v>0</v>
      </c>
      <c r="T39" s="123">
        <f>IF($E39=0,0,Dangchung!T39)</f>
        <v>0</v>
      </c>
      <c r="U39" s="123">
        <f>IF($E39=0,0,Dangchung!U39)</f>
        <v>0</v>
      </c>
      <c r="V39" s="123">
        <f>IF($E39=0,0,Dangchung!V39)</f>
        <v>0</v>
      </c>
      <c r="W39" s="241">
        <f>IF($E39=0,0,Dangchung!W39)</f>
        <v>0</v>
      </c>
      <c r="X39" s="241">
        <f>IF($E39=0,0,Dangchung!X39)</f>
        <v>0</v>
      </c>
      <c r="Y39" s="241">
        <f>IF($E39=0,0,Dangchung!Y39)</f>
        <v>0</v>
      </c>
      <c r="Z39" s="241">
        <f>IF($E39=0,0,Dangchung!Z39)</f>
        <v>0</v>
      </c>
      <c r="AA39" s="241">
        <f>IF($E39=0,0,Dangchung!AA39)</f>
        <v>0</v>
      </c>
      <c r="AB39" s="241">
        <f>IF($E39=0,0,Dangchung!AB39)</f>
        <v>0</v>
      </c>
      <c r="AC39" s="241">
        <f>IF($E39=0,0,Dangchung!AC39)</f>
        <v>0</v>
      </c>
      <c r="AD39" s="241">
        <f>IF($E39=0,0,Dangchung!AD39)</f>
        <v>0</v>
      </c>
      <c r="AE39" s="241">
        <f>IF($E39=0,0,Dangchung!AE39)</f>
        <v>0</v>
      </c>
      <c r="AF39" s="241">
        <f>IF($E39=0,0,Dangchung!AF39)</f>
        <v>0</v>
      </c>
      <c r="AG39" s="241">
        <f>IF($E39=0,0,Dangchung!AG39)</f>
        <v>0</v>
      </c>
      <c r="AH39" s="241">
        <f>IF($E39=0,0,Dangchung!AH39)</f>
        <v>0</v>
      </c>
      <c r="AI39" s="241">
        <f>IF($E39=0,0,Dangchung!AI39)</f>
        <v>0</v>
      </c>
      <c r="AJ39" s="241">
        <f>IF($E39=0,0,Dangchung!AJ39)</f>
        <v>0</v>
      </c>
      <c r="AK39" s="241">
        <f>IF($E39=0,0,Dangchung!AK39)</f>
        <v>0</v>
      </c>
      <c r="AL39" s="212"/>
    </row>
    <row r="40" spans="1:38" x14ac:dyDescent="0.25">
      <c r="A40" s="220"/>
      <c r="B40" s="128">
        <f>IF(E40=0,0,MAX($B$8:B39)+1)</f>
        <v>19</v>
      </c>
      <c r="C40" s="163">
        <f>Dangchung!C40</f>
        <v>3</v>
      </c>
      <c r="D40" s="162">
        <f>IF(Dangchung!D40&lt;&gt;0,0,0)</f>
        <v>0</v>
      </c>
      <c r="E40" s="162" t="str">
        <f>IF(Dangchung!D40&lt;&gt;0,0,Dangchung!E40)</f>
        <v>Phạm Thị Thoa</v>
      </c>
      <c r="F40" s="123" t="str">
        <f>IF($E40=0,0,Dangchung!F40)</f>
        <v>x</v>
      </c>
      <c r="G40" s="123">
        <f>IF($E40=0,0,Dangchung!G40)</f>
        <v>0</v>
      </c>
      <c r="H40" s="123" t="str">
        <f>IF($E40=0,0,Dangchung!H40)</f>
        <v>10/05/1979</v>
      </c>
      <c r="I40" s="125">
        <f>IF($E40=0,0,Dangchung!I40)</f>
        <v>0</v>
      </c>
      <c r="J40" s="125">
        <f>IF($E40=0,0,Dangchung!J40)</f>
        <v>1979</v>
      </c>
      <c r="K40" s="123" t="str">
        <f>IF($E40=0,0,Dangchung!K40)</f>
        <v>GV</v>
      </c>
      <c r="L40" s="123">
        <f>IF($E40=0,0,Dangchung!L40)</f>
        <v>0</v>
      </c>
      <c r="M40" s="123" t="str">
        <f>IF($E40=0,0,Dangchung!M40)</f>
        <v>x</v>
      </c>
      <c r="N40" s="123" t="str">
        <f>IF($E40=0,0,Dangchung!N40)</f>
        <v>x</v>
      </c>
      <c r="O40" s="123" t="str">
        <f>IF($E40=0,0,Dangchung!O40)</f>
        <v>Nam Giang-Thanh Hóa</v>
      </c>
      <c r="P40" s="123" t="str">
        <f>IF($E40=0,0,Dangchung!P40)</f>
        <v>Nam Giang-Thọ Xuân-Thanh Hóa</v>
      </c>
      <c r="Q40" s="123" t="str">
        <f>IF($E40=0,0,Dangchung!Q40)</f>
        <v>18/1 Vĩnh Phú-VTT</v>
      </c>
      <c r="R40" s="123" t="str">
        <f>IF($E40=0,0,Dangchung!R40)</f>
        <v>PTTH/96/TB</v>
      </c>
      <c r="S40" s="123" t="str">
        <f>IF($E40=0,0,Dangchung!S40)</f>
        <v>CĐ3/Văn-GDCD/99/TB</v>
      </c>
      <c r="T40" s="123">
        <f>IF($E40=0,0,Dangchung!T40)</f>
        <v>0</v>
      </c>
      <c r="U40" s="123">
        <f>IF($E40=0,0,Dangchung!U40)</f>
        <v>0</v>
      </c>
      <c r="V40" s="123" t="str">
        <f>IF($E40=0,0,Dangchung!V40)</f>
        <v>CĐ3/</v>
      </c>
      <c r="W40" s="241">
        <f>IF($E40=0,0,Dangchung!W40)</f>
        <v>0</v>
      </c>
      <c r="X40" s="241">
        <f>IF($E40=0,0,Dangchung!X40)</f>
        <v>0</v>
      </c>
      <c r="Y40" s="241" t="str">
        <f>IF($E40=0,0,Dangchung!Y40)</f>
        <v>A/08/Khá</v>
      </c>
      <c r="Z40" s="241">
        <f>IF($E40=0,0,Dangchung!Z40)</f>
        <v>0</v>
      </c>
      <c r="AA40" s="241">
        <f>IF($E40=0,0,Dangchung!AA40)</f>
        <v>0</v>
      </c>
      <c r="AB40" s="241">
        <f>IF($E40=0,0,Dangchung!AB40)</f>
        <v>0</v>
      </c>
      <c r="AC40" s="241">
        <f>IF($E40=0,0,Dangchung!AC40)</f>
        <v>0</v>
      </c>
      <c r="AD40" s="241">
        <f>IF($E40=0,0,Dangchung!AD40)</f>
        <v>0</v>
      </c>
      <c r="AE40" s="241">
        <f>IF($E40=0,0,Dangchung!AE40)</f>
        <v>352428214</v>
      </c>
      <c r="AF40" s="241" t="str">
        <f>IF($E40=0,0,Dangchung!AF40)</f>
        <v>12/12/2012</v>
      </c>
      <c r="AG40" s="241" t="str">
        <f>IF($E40=0,0,Dangchung!AG40)</f>
        <v>01/09/1999</v>
      </c>
      <c r="AH40" s="241" t="str">
        <f>IF($E40=0,0,Dangchung!AH40)</f>
        <v>09/08/2001</v>
      </c>
      <c r="AI40" s="241" t="str">
        <f>IF($E40=0,0,Dangchung!AI40)</f>
        <v>31.020 543</v>
      </c>
      <c r="AJ40" s="241">
        <f>IF($E40=0,0,Dangchung!AJ40)</f>
        <v>2001</v>
      </c>
      <c r="AK40" s="241" t="str">
        <f>IF($E40=0,0,Dangchung!AK40)</f>
        <v>0919367349</v>
      </c>
      <c r="AL40" s="212"/>
    </row>
    <row r="41" spans="1:38" x14ac:dyDescent="0.25">
      <c r="A41" s="220"/>
      <c r="B41" s="128">
        <f>IF(E41=0,0,MAX($B$8:B40)+1)</f>
        <v>20</v>
      </c>
      <c r="C41" s="163">
        <f>Dangchung!C41</f>
        <v>4</v>
      </c>
      <c r="D41" s="162">
        <f>IF(Dangchung!D41&lt;&gt;0,0,0)</f>
        <v>0</v>
      </c>
      <c r="E41" s="162" t="str">
        <f>IF(Dangchung!D41&lt;&gt;0,0,Dangchung!E41)</f>
        <v>Lê Thị Tính</v>
      </c>
      <c r="F41" s="123" t="str">
        <f>IF($E41=0,0,Dangchung!F41)</f>
        <v>x</v>
      </c>
      <c r="G41" s="123">
        <f>IF($E41=0,0,Dangchung!G41)</f>
        <v>0</v>
      </c>
      <c r="H41" s="123" t="str">
        <f>IF($E41=0,0,Dangchung!H41)</f>
        <v>06/08/1981</v>
      </c>
      <c r="I41" s="125">
        <f>IF($E41=0,0,Dangchung!I41)</f>
        <v>0</v>
      </c>
      <c r="J41" s="125">
        <f>IF($E41=0,0,Dangchung!J41)</f>
        <v>1981</v>
      </c>
      <c r="K41" s="123" t="str">
        <f>IF($E41=0,0,Dangchung!K41)</f>
        <v>GV</v>
      </c>
      <c r="L41" s="123">
        <f>IF($E41=0,0,Dangchung!L41)</f>
        <v>0</v>
      </c>
      <c r="M41" s="123" t="str">
        <f>IF($E41=0,0,Dangchung!M41)</f>
        <v>x</v>
      </c>
      <c r="N41" s="123" t="str">
        <f>IF($E41=0,0,Dangchung!N41)</f>
        <v>CNV</v>
      </c>
      <c r="O41" s="123" t="str">
        <f>IF($E41=0,0,Dangchung!O41)</f>
        <v>Cô Tô-An Giang</v>
      </c>
      <c r="P41" s="123" t="str">
        <f>IF($E41=0,0,Dangchung!P41)</f>
        <v>Cô Tô-Tri Tôn</v>
      </c>
      <c r="Q41" s="123" t="str">
        <f>IF($E41=0,0,Dangchung!Q41)</f>
        <v>Vĩnh Phú-VTT</v>
      </c>
      <c r="R41" s="123" t="str">
        <f>IF($E41=0,0,Dangchung!R41)</f>
        <v>PTTH/99/TB</v>
      </c>
      <c r="S41" s="123" t="str">
        <f>IF($E41=0,0,Dangchung!S41)</f>
        <v>CĐ3/Sử-GDCD/02/TBK</v>
      </c>
      <c r="T41" s="123" t="str">
        <f>IF($E41=0,0,Dangchung!T41)</f>
        <v>ĐHTX/Sử/09/TBK</v>
      </c>
      <c r="U41" s="123">
        <f>IF($E41=0,0,Dangchung!U41)</f>
        <v>0</v>
      </c>
      <c r="V41" s="123" t="str">
        <f>IF($E41=0,0,Dangchung!V41)</f>
        <v>ĐHTX</v>
      </c>
      <c r="W41" s="241">
        <f>IF($E41=0,0,Dangchung!W41)</f>
        <v>0</v>
      </c>
      <c r="X41" s="241" t="str">
        <f>IF($E41=0,0,Dangchung!X41)</f>
        <v>SC/18</v>
      </c>
      <c r="Y41" s="241" t="str">
        <f>IF($E41=0,0,Dangchung!Y41)</f>
        <v>A/08/TB</v>
      </c>
      <c r="Z41" s="241" t="str">
        <f>IF($E41=0,0,Dangchung!Z41)</f>
        <v>A/Anh/13/Khá</v>
      </c>
      <c r="AA41" s="241">
        <f>IF($E41=0,0,Dangchung!AA41)</f>
        <v>0</v>
      </c>
      <c r="AB41" s="241">
        <f>IF($E41=0,0,Dangchung!AB41)</f>
        <v>0</v>
      </c>
      <c r="AC41" s="241">
        <f>IF($E41=0,0,Dangchung!AC41)</f>
        <v>0</v>
      </c>
      <c r="AD41" s="241" t="str">
        <f>IF($E41=0,0,Dangchung!AD41)</f>
        <v>CN/07/Khá</v>
      </c>
      <c r="AE41" s="241">
        <f>IF($E41=0,0,Dangchung!AE41)</f>
        <v>351441328</v>
      </c>
      <c r="AF41" s="241" t="str">
        <f>IF($E41=0,0,Dangchung!AF41)</f>
        <v>26/11/2008</v>
      </c>
      <c r="AG41" s="241" t="str">
        <f>IF($E41=0,0,Dangchung!AG41)</f>
        <v>01/09/2002</v>
      </c>
      <c r="AH41" s="241" t="str">
        <f>IF($E41=0,0,Dangchung!AH41)</f>
        <v>22/11/2008</v>
      </c>
      <c r="AI41" s="241" t="str">
        <f>IF($E41=0,0,Dangchung!AI41)</f>
        <v>31.038 078</v>
      </c>
      <c r="AJ41" s="241">
        <f>IF($E41=0,0,Dangchung!AJ41)</f>
        <v>2008</v>
      </c>
      <c r="AK41" s="241" t="str">
        <f>IF($E41=0,0,Dangchung!AK41)</f>
        <v>0987076759</v>
      </c>
      <c r="AL41" s="212"/>
    </row>
    <row r="42" spans="1:38" hidden="1" x14ac:dyDescent="0.25">
      <c r="A42" s="220"/>
      <c r="B42" s="128">
        <f>IF(E42=0,0,MAX($B$8:B41)+1)</f>
        <v>0</v>
      </c>
      <c r="C42" s="174">
        <f>Dangchung!C42</f>
        <v>0</v>
      </c>
      <c r="D42" s="173">
        <f>IF(Dangchung!D42&lt;&gt;0,0,0)</f>
        <v>0</v>
      </c>
      <c r="E42" s="173">
        <f>IF(Dangchung!D42&lt;&gt;0,0,Dangchung!E42)</f>
        <v>0</v>
      </c>
      <c r="F42" s="145">
        <f>IF($E42=0,0,Dangchung!F42)</f>
        <v>0</v>
      </c>
      <c r="G42" s="145">
        <f>IF($E42=0,0,Dangchung!G42)</f>
        <v>0</v>
      </c>
      <c r="H42" s="145">
        <f>IF($E42=0,0,Dangchung!H42)</f>
        <v>0</v>
      </c>
      <c r="I42" s="147">
        <f>IF($E42=0,0,Dangchung!I42)</f>
        <v>0</v>
      </c>
      <c r="J42" s="147">
        <f>IF($E42=0,0,Dangchung!J42)</f>
        <v>0</v>
      </c>
      <c r="K42" s="145">
        <f>IF($E42=0,0,Dangchung!K42)</f>
        <v>0</v>
      </c>
      <c r="L42" s="145">
        <f>IF($E42=0,0,Dangchung!L42)</f>
        <v>0</v>
      </c>
      <c r="M42" s="145">
        <f>IF($E42=0,0,Dangchung!M42)</f>
        <v>0</v>
      </c>
      <c r="N42" s="145">
        <f>IF($E42=0,0,Dangchung!N42)</f>
        <v>0</v>
      </c>
      <c r="O42" s="145">
        <f>IF($E42=0,0,Dangchung!O42)</f>
        <v>0</v>
      </c>
      <c r="P42" s="145">
        <f>IF($E42=0,0,Dangchung!P42)</f>
        <v>0</v>
      </c>
      <c r="Q42" s="145">
        <f>IF($E42=0,0,Dangchung!Q42)</f>
        <v>0</v>
      </c>
      <c r="R42" s="145">
        <f>IF($E42=0,0,Dangchung!R42)</f>
        <v>0</v>
      </c>
      <c r="S42" s="145">
        <f>IF($E42=0,0,Dangchung!S42)</f>
        <v>0</v>
      </c>
      <c r="T42" s="145">
        <f>IF($E42=0,0,Dangchung!T42)</f>
        <v>0</v>
      </c>
      <c r="U42" s="145">
        <f>IF($E42=0,0,Dangchung!U42)</f>
        <v>0</v>
      </c>
      <c r="V42" s="145">
        <f>IF($E42=0,0,Dangchung!V42)</f>
        <v>0</v>
      </c>
      <c r="W42" s="242">
        <f>IF($E42=0,0,Dangchung!W42)</f>
        <v>0</v>
      </c>
      <c r="X42" s="242">
        <f>IF($E42=0,0,Dangchung!X42)</f>
        <v>0</v>
      </c>
      <c r="Y42" s="242">
        <f>IF($E42=0,0,Dangchung!Y42)</f>
        <v>0</v>
      </c>
      <c r="Z42" s="242">
        <f>IF($E42=0,0,Dangchung!Z42)</f>
        <v>0</v>
      </c>
      <c r="AA42" s="242">
        <f>IF($E42=0,0,Dangchung!AA42)</f>
        <v>0</v>
      </c>
      <c r="AB42" s="242">
        <f>IF($E42=0,0,Dangchung!AB42)</f>
        <v>0</v>
      </c>
      <c r="AC42" s="242">
        <f>IF($E42=0,0,Dangchung!AC42)</f>
        <v>0</v>
      </c>
      <c r="AD42" s="242">
        <f>IF($E42=0,0,Dangchung!AD42)</f>
        <v>0</v>
      </c>
      <c r="AE42" s="242">
        <f>IF($E42=0,0,Dangchung!AE42)</f>
        <v>0</v>
      </c>
      <c r="AF42" s="242">
        <f>IF($E42=0,0,Dangchung!AF42)</f>
        <v>0</v>
      </c>
      <c r="AG42" s="242">
        <f>IF($E42=0,0,Dangchung!AG42)</f>
        <v>0</v>
      </c>
      <c r="AH42" s="242">
        <f>IF($E42=0,0,Dangchung!AH42)</f>
        <v>0</v>
      </c>
      <c r="AI42" s="242">
        <f>IF($E42=0,0,Dangchung!AI42)</f>
        <v>0</v>
      </c>
      <c r="AJ42" s="242">
        <f>IF($E42=0,0,Dangchung!AJ42)</f>
        <v>0</v>
      </c>
      <c r="AK42" s="242">
        <f>IF($E42=0,0,Dangchung!AK42)</f>
        <v>0</v>
      </c>
      <c r="AL42" s="212"/>
    </row>
    <row r="43" spans="1:38" s="118" customFormat="1" x14ac:dyDescent="0.25">
      <c r="A43" s="220"/>
      <c r="B43" s="128">
        <f>IF(E43=0,0,MAX($B$8:B42)+1)</f>
        <v>21</v>
      </c>
      <c r="C43" s="182">
        <f>Dangchung!C43</f>
        <v>1</v>
      </c>
      <c r="D43" s="122">
        <f>IF(Dangchung!D43&lt;&gt;0,0,0)</f>
        <v>0</v>
      </c>
      <c r="E43" s="122" t="str">
        <f>IF(Dangchung!D43&lt;&gt;0,0,Dangchung!E43)</f>
        <v>Châu Thị Huỳnh Mai</v>
      </c>
      <c r="F43" s="123" t="str">
        <f>IF($E43=0,0,Dangchung!F43)</f>
        <v>x</v>
      </c>
      <c r="G43" s="123">
        <f>IF($E43=0,0,Dangchung!G43)</f>
        <v>0</v>
      </c>
      <c r="H43" s="123" t="str">
        <f>IF($E43=0,0,Dangchung!H43)</f>
        <v>03/02/1976</v>
      </c>
      <c r="I43" s="185">
        <f>IF($E43=0,0,Dangchung!I43)</f>
        <v>0</v>
      </c>
      <c r="J43" s="185">
        <f>IF($E43=0,0,Dangchung!J43)</f>
        <v>1976</v>
      </c>
      <c r="K43" s="123" t="str">
        <f>IF($E43=0,0,Dangchung!K43)</f>
        <v>GV</v>
      </c>
      <c r="L43" s="123">
        <f>IF($E43=0,0,Dangchung!L43)</f>
        <v>0</v>
      </c>
      <c r="M43" s="123" t="str">
        <f>IF($E43=0,0,Dangchung!M43)</f>
        <v>x</v>
      </c>
      <c r="N43" s="123" t="str">
        <f>IF($E43=0,0,Dangchung!N43)</f>
        <v>Viên chức</v>
      </c>
      <c r="O43" s="123" t="str">
        <f>IF($E43=0,0,Dangchung!O43)</f>
        <v>Vĩnh Tế-An Giang</v>
      </c>
      <c r="P43" s="123" t="str">
        <f>IF($E43=0,0,Dangchung!P43)</f>
        <v>Vĩnh Tế-Châu Đốc</v>
      </c>
      <c r="Q43" s="123" t="str">
        <f>IF($E43=0,0,Dangchung!Q43)</f>
        <v>Vĩnh Hưng-VTT</v>
      </c>
      <c r="R43" s="123" t="str">
        <f>IF($E43=0,0,Dangchung!R43)</f>
        <v>PTTH/93/Khá</v>
      </c>
      <c r="S43" s="123" t="str">
        <f>IF($E43=0,0,Dangchung!S43)</f>
        <v>CĐ3/Anh/96/Giỏi</v>
      </c>
      <c r="T43" s="123" t="str">
        <f>IF($E43=0,0,Dangchung!T43)</f>
        <v>ĐHTC/Anh/02/Khá</v>
      </c>
      <c r="U43" s="123">
        <f>IF($E43=0,0,Dangchung!U43)</f>
        <v>0</v>
      </c>
      <c r="V43" s="123" t="str">
        <f>IF($E43=0,0,Dangchung!V43)</f>
        <v>ĐHTC</v>
      </c>
      <c r="W43" s="241">
        <f>IF($E43=0,0,Dangchung!W43)</f>
        <v>0</v>
      </c>
      <c r="X43" s="241" t="str">
        <f>IF($E43=0,0,Dangchung!X43)</f>
        <v>SC/18</v>
      </c>
      <c r="Y43" s="241" t="str">
        <f>IF($E43=0,0,Dangchung!Y43)</f>
        <v>A/04/Giỏi</v>
      </c>
      <c r="Z43" s="241" t="str">
        <f>IF($E43=0,0,Dangchung!Z43)</f>
        <v>B2/Anh/13</v>
      </c>
      <c r="AA43" s="241" t="str">
        <f>IF($E43=0,0,Dangchung!AA43)</f>
        <v>A/Pháp/10/Khá</v>
      </c>
      <c r="AB43" s="241" t="str">
        <f>IF($E43=0,0,Dangchung!AB43)</f>
        <v>B/Anh/95/TB</v>
      </c>
      <c r="AC43" s="241" t="str">
        <f>IF($E43=0,0,Dangchung!AC43)</f>
        <v>A2/Pháp/16</v>
      </c>
      <c r="AD43" s="241" t="str">
        <f>IF($E43=0,0,Dangchung!AD43)</f>
        <v>CN/10/Giỏi</v>
      </c>
      <c r="AE43" s="241">
        <f>IF($E43=0,0,Dangchung!AE43)</f>
        <v>351235241</v>
      </c>
      <c r="AF43" s="241" t="str">
        <f>IF($E43=0,0,Dangchung!AF43)</f>
        <v>18/11/2010</v>
      </c>
      <c r="AG43" s="241" t="str">
        <f>IF($E43=0,0,Dangchung!AG43)</f>
        <v>01/09/1996</v>
      </c>
      <c r="AH43" s="241" t="str">
        <f>IF($E43=0,0,Dangchung!AH43)</f>
        <v>22/11/2008</v>
      </c>
      <c r="AI43" s="241" t="str">
        <f>IF($E43=0,0,Dangchung!AI43)</f>
        <v>31.038 081</v>
      </c>
      <c r="AJ43" s="241">
        <f>IF($E43=0,0,Dangchung!AJ43)</f>
        <v>2008</v>
      </c>
      <c r="AK43" s="241" t="str">
        <f>IF($E43=0,0,Dangchung!AK43)</f>
        <v>0365858855</v>
      </c>
      <c r="AL43" s="212"/>
    </row>
    <row r="44" spans="1:38" s="118" customFormat="1" hidden="1" x14ac:dyDescent="0.25">
      <c r="A44" s="220"/>
      <c r="B44" s="128">
        <f>IF(E44=0,0,MAX($B$8:B43)+1)</f>
        <v>0</v>
      </c>
      <c r="C44" s="132">
        <f>Dangchung!C44</f>
        <v>0</v>
      </c>
      <c r="D44" s="128">
        <f>IF(Dangchung!D44&lt;&gt;0,0,0)</f>
        <v>0</v>
      </c>
      <c r="E44" s="128">
        <f>IF(Dangchung!D44&lt;&gt;0,0,Dangchung!E44)</f>
        <v>0</v>
      </c>
      <c r="F44" s="123">
        <f>IF($E44=0,0,Dangchung!F44)</f>
        <v>0</v>
      </c>
      <c r="G44" s="123">
        <f>IF($E44=0,0,Dangchung!G44)</f>
        <v>0</v>
      </c>
      <c r="H44" s="123">
        <f>IF($E44=0,0,Dangchung!H44)</f>
        <v>0</v>
      </c>
      <c r="I44" s="125">
        <f>IF($E44=0,0,Dangchung!I44)</f>
        <v>0</v>
      </c>
      <c r="J44" s="125">
        <f>IF($E44=0,0,Dangchung!J44)</f>
        <v>0</v>
      </c>
      <c r="K44" s="123">
        <f>IF($E44=0,0,Dangchung!K44)</f>
        <v>0</v>
      </c>
      <c r="L44" s="123">
        <f>IF($E44=0,0,Dangchung!L44)</f>
        <v>0</v>
      </c>
      <c r="M44" s="123">
        <f>IF($E44=0,0,Dangchung!M44)</f>
        <v>0</v>
      </c>
      <c r="N44" s="123">
        <f>IF($E44=0,0,Dangchung!N44)</f>
        <v>0</v>
      </c>
      <c r="O44" s="123">
        <f>IF($E44=0,0,Dangchung!O44)</f>
        <v>0</v>
      </c>
      <c r="P44" s="123">
        <f>IF($E44=0,0,Dangchung!P44)</f>
        <v>0</v>
      </c>
      <c r="Q44" s="123">
        <f>IF($E44=0,0,Dangchung!Q44)</f>
        <v>0</v>
      </c>
      <c r="R44" s="123">
        <f>IF($E44=0,0,Dangchung!R44)</f>
        <v>0</v>
      </c>
      <c r="S44" s="123">
        <f>IF($E44=0,0,Dangchung!S44)</f>
        <v>0</v>
      </c>
      <c r="T44" s="123">
        <f>IF($E44=0,0,Dangchung!T44)</f>
        <v>0</v>
      </c>
      <c r="U44" s="123">
        <f>IF($E44=0,0,Dangchung!U44)</f>
        <v>0</v>
      </c>
      <c r="V44" s="123">
        <f>IF($E44=0,0,Dangchung!V44)</f>
        <v>0</v>
      </c>
      <c r="W44" s="241">
        <f>IF($E44=0,0,Dangchung!W44)</f>
        <v>0</v>
      </c>
      <c r="X44" s="241">
        <f>IF($E44=0,0,Dangchung!X44)</f>
        <v>0</v>
      </c>
      <c r="Y44" s="241">
        <f>IF($E44=0,0,Dangchung!Y44)</f>
        <v>0</v>
      </c>
      <c r="Z44" s="241">
        <f>IF($E44=0,0,Dangchung!Z44)</f>
        <v>0</v>
      </c>
      <c r="AA44" s="241">
        <f>IF($E44=0,0,Dangchung!AA44)</f>
        <v>0</v>
      </c>
      <c r="AB44" s="241">
        <f>IF($E44=0,0,Dangchung!AB44)</f>
        <v>0</v>
      </c>
      <c r="AC44" s="241">
        <f>IF($E44=0,0,Dangchung!AC44)</f>
        <v>0</v>
      </c>
      <c r="AD44" s="241">
        <f>IF($E44=0,0,Dangchung!AD44)</f>
        <v>0</v>
      </c>
      <c r="AE44" s="241">
        <f>IF($E44=0,0,Dangchung!AE44)</f>
        <v>0</v>
      </c>
      <c r="AF44" s="241">
        <f>IF($E44=0,0,Dangchung!AF44)</f>
        <v>0</v>
      </c>
      <c r="AG44" s="241">
        <f>IF($E44=0,0,Dangchung!AG44)</f>
        <v>0</v>
      </c>
      <c r="AH44" s="241">
        <f>IF($E44=0,0,Dangchung!AH44)</f>
        <v>0</v>
      </c>
      <c r="AI44" s="241">
        <f>IF($E44=0,0,Dangchung!AI44)</f>
        <v>0</v>
      </c>
      <c r="AJ44" s="241">
        <f>IF($E44=0,0,Dangchung!AJ44)</f>
        <v>0</v>
      </c>
      <c r="AK44" s="241">
        <f>IF($E44=0,0,Dangchung!AK44)</f>
        <v>0</v>
      </c>
      <c r="AL44" s="212"/>
    </row>
    <row r="45" spans="1:38" s="118" customFormat="1" hidden="1" x14ac:dyDescent="0.25">
      <c r="A45" s="220"/>
      <c r="B45" s="128">
        <f>IF(E45=0,0,MAX($B$8:B44)+1)</f>
        <v>0</v>
      </c>
      <c r="C45" s="132">
        <f>Dangchung!C45</f>
        <v>0</v>
      </c>
      <c r="D45" s="128">
        <f>IF(Dangchung!D45&lt;&gt;0,0,0)</f>
        <v>0</v>
      </c>
      <c r="E45" s="128">
        <f>IF(Dangchung!D45&lt;&gt;0,0,Dangchung!E45)</f>
        <v>0</v>
      </c>
      <c r="F45" s="123">
        <f>IF($E45=0,0,Dangchung!F45)</f>
        <v>0</v>
      </c>
      <c r="G45" s="123">
        <f>IF($E45=0,0,Dangchung!G45)</f>
        <v>0</v>
      </c>
      <c r="H45" s="123">
        <f>IF($E45=0,0,Dangchung!H45)</f>
        <v>0</v>
      </c>
      <c r="I45" s="125">
        <f>IF($E45=0,0,Dangchung!I45)</f>
        <v>0</v>
      </c>
      <c r="J45" s="125">
        <f>IF($E45=0,0,Dangchung!J45)</f>
        <v>0</v>
      </c>
      <c r="K45" s="123">
        <f>IF($E45=0,0,Dangchung!K45)</f>
        <v>0</v>
      </c>
      <c r="L45" s="123">
        <f>IF($E45=0,0,Dangchung!L45)</f>
        <v>0</v>
      </c>
      <c r="M45" s="123">
        <f>IF($E45=0,0,Dangchung!M45)</f>
        <v>0</v>
      </c>
      <c r="N45" s="123">
        <f>IF($E45=0,0,Dangchung!N45)</f>
        <v>0</v>
      </c>
      <c r="O45" s="123">
        <f>IF($E45=0,0,Dangchung!O45)</f>
        <v>0</v>
      </c>
      <c r="P45" s="123">
        <f>IF($E45=0,0,Dangchung!P45)</f>
        <v>0</v>
      </c>
      <c r="Q45" s="123">
        <f>IF($E45=0,0,Dangchung!Q45)</f>
        <v>0</v>
      </c>
      <c r="R45" s="123">
        <f>IF($E45=0,0,Dangchung!R45)</f>
        <v>0</v>
      </c>
      <c r="S45" s="123">
        <f>IF($E45=0,0,Dangchung!S45)</f>
        <v>0</v>
      </c>
      <c r="T45" s="123">
        <f>IF($E45=0,0,Dangchung!T45)</f>
        <v>0</v>
      </c>
      <c r="U45" s="123">
        <f>IF($E45=0,0,Dangchung!U45)</f>
        <v>0</v>
      </c>
      <c r="V45" s="123">
        <f>IF($E45=0,0,Dangchung!V45)</f>
        <v>0</v>
      </c>
      <c r="W45" s="241">
        <f>IF($E45=0,0,Dangchung!W45)</f>
        <v>0</v>
      </c>
      <c r="X45" s="241">
        <f>IF($E45=0,0,Dangchung!X45)</f>
        <v>0</v>
      </c>
      <c r="Y45" s="241">
        <f>IF($E45=0,0,Dangchung!Y45)</f>
        <v>0</v>
      </c>
      <c r="Z45" s="241">
        <f>IF($E45=0,0,Dangchung!Z45)</f>
        <v>0</v>
      </c>
      <c r="AA45" s="241">
        <f>IF($E45=0,0,Dangchung!AA45)</f>
        <v>0</v>
      </c>
      <c r="AB45" s="241">
        <f>IF($E45=0,0,Dangchung!AB45)</f>
        <v>0</v>
      </c>
      <c r="AC45" s="241">
        <f>IF($E45=0,0,Dangchung!AC45)</f>
        <v>0</v>
      </c>
      <c r="AD45" s="241">
        <f>IF($E45=0,0,Dangchung!AD45)</f>
        <v>0</v>
      </c>
      <c r="AE45" s="241">
        <f>IF($E45=0,0,Dangchung!AE45)</f>
        <v>0</v>
      </c>
      <c r="AF45" s="241">
        <f>IF($E45=0,0,Dangchung!AF45)</f>
        <v>0</v>
      </c>
      <c r="AG45" s="241">
        <f>IF($E45=0,0,Dangchung!AG45)</f>
        <v>0</v>
      </c>
      <c r="AH45" s="241">
        <f>IF($E45=0,0,Dangchung!AH45)</f>
        <v>0</v>
      </c>
      <c r="AI45" s="241">
        <f>IF($E45=0,0,Dangchung!AI45)</f>
        <v>0</v>
      </c>
      <c r="AJ45" s="241">
        <f>IF($E45=0,0,Dangchung!AJ45)</f>
        <v>0</v>
      </c>
      <c r="AK45" s="241">
        <f>IF($E45=0,0,Dangchung!AK45)</f>
        <v>0</v>
      </c>
      <c r="AL45" s="212"/>
    </row>
    <row r="46" spans="1:38" s="118" customFormat="1" hidden="1" x14ac:dyDescent="0.25">
      <c r="A46" s="220"/>
      <c r="B46" s="128">
        <f>IF(E46=0,0,MAX($B$8:B45)+1)</f>
        <v>0</v>
      </c>
      <c r="C46" s="132">
        <f>Dangchung!C46</f>
        <v>0</v>
      </c>
      <c r="D46" s="128">
        <f>IF(Dangchung!D46&lt;&gt;0,0,0)</f>
        <v>0</v>
      </c>
      <c r="E46" s="128">
        <f>IF(Dangchung!D46&lt;&gt;0,0,Dangchung!E46)</f>
        <v>0</v>
      </c>
      <c r="F46" s="123">
        <f>IF($E46=0,0,Dangchung!F46)</f>
        <v>0</v>
      </c>
      <c r="G46" s="123">
        <f>IF($E46=0,0,Dangchung!G46)</f>
        <v>0</v>
      </c>
      <c r="H46" s="123">
        <f>IF($E46=0,0,Dangchung!H46)</f>
        <v>0</v>
      </c>
      <c r="I46" s="125">
        <f>IF($E46=0,0,Dangchung!I46)</f>
        <v>0</v>
      </c>
      <c r="J46" s="125">
        <f>IF($E46=0,0,Dangchung!J46)</f>
        <v>0</v>
      </c>
      <c r="K46" s="123">
        <f>IF($E46=0,0,Dangchung!K46)</f>
        <v>0</v>
      </c>
      <c r="L46" s="123">
        <f>IF($E46=0,0,Dangchung!L46)</f>
        <v>0</v>
      </c>
      <c r="M46" s="123">
        <f>IF($E46=0,0,Dangchung!M46)</f>
        <v>0</v>
      </c>
      <c r="N46" s="123">
        <f>IF($E46=0,0,Dangchung!N46)</f>
        <v>0</v>
      </c>
      <c r="O46" s="123">
        <f>IF($E46=0,0,Dangchung!O46)</f>
        <v>0</v>
      </c>
      <c r="P46" s="123">
        <f>IF($E46=0,0,Dangchung!P46)</f>
        <v>0</v>
      </c>
      <c r="Q46" s="123">
        <f>IF($E46=0,0,Dangchung!Q46)</f>
        <v>0</v>
      </c>
      <c r="R46" s="123">
        <f>IF($E46=0,0,Dangchung!R46)</f>
        <v>0</v>
      </c>
      <c r="S46" s="123">
        <f>IF($E46=0,0,Dangchung!S46)</f>
        <v>0</v>
      </c>
      <c r="T46" s="123">
        <f>IF($E46=0,0,Dangchung!T46)</f>
        <v>0</v>
      </c>
      <c r="U46" s="123">
        <f>IF($E46=0,0,Dangchung!U46)</f>
        <v>0</v>
      </c>
      <c r="V46" s="123">
        <f>IF($E46=0,0,Dangchung!V46)</f>
        <v>0</v>
      </c>
      <c r="W46" s="241">
        <f>IF($E46=0,0,Dangchung!W46)</f>
        <v>0</v>
      </c>
      <c r="X46" s="241">
        <f>IF($E46=0,0,Dangchung!X46)</f>
        <v>0</v>
      </c>
      <c r="Y46" s="241">
        <f>IF($E46=0,0,Dangchung!Y46)</f>
        <v>0</v>
      </c>
      <c r="Z46" s="241">
        <f>IF($E46=0,0,Dangchung!Z46)</f>
        <v>0</v>
      </c>
      <c r="AA46" s="241">
        <f>IF($E46=0,0,Dangchung!AA46)</f>
        <v>0</v>
      </c>
      <c r="AB46" s="241">
        <f>IF($E46=0,0,Dangchung!AB46)</f>
        <v>0</v>
      </c>
      <c r="AC46" s="241">
        <f>IF($E46=0,0,Dangchung!AC46)</f>
        <v>0</v>
      </c>
      <c r="AD46" s="241">
        <f>IF($E46=0,0,Dangchung!AD46)</f>
        <v>0</v>
      </c>
      <c r="AE46" s="241">
        <f>IF($E46=0,0,Dangchung!AE46)</f>
        <v>0</v>
      </c>
      <c r="AF46" s="241">
        <f>IF($E46=0,0,Dangchung!AF46)</f>
        <v>0</v>
      </c>
      <c r="AG46" s="241">
        <f>IF($E46=0,0,Dangchung!AG46)</f>
        <v>0</v>
      </c>
      <c r="AH46" s="241">
        <f>IF($E46=0,0,Dangchung!AH46)</f>
        <v>0</v>
      </c>
      <c r="AI46" s="241">
        <f>IF($E46=0,0,Dangchung!AI46)</f>
        <v>0</v>
      </c>
      <c r="AJ46" s="241">
        <f>IF($E46=0,0,Dangchung!AJ46)</f>
        <v>0</v>
      </c>
      <c r="AK46" s="241">
        <f>IF($E46=0,0,Dangchung!AK46)</f>
        <v>0</v>
      </c>
      <c r="AL46" s="212"/>
    </row>
    <row r="47" spans="1:38" s="118" customFormat="1" hidden="1" x14ac:dyDescent="0.25">
      <c r="A47" s="220"/>
      <c r="B47" s="128">
        <f>IF(E47=0,0,MAX($B$8:B46)+1)</f>
        <v>0</v>
      </c>
      <c r="C47" s="132">
        <f>Dangchung!C47</f>
        <v>0</v>
      </c>
      <c r="D47" s="128">
        <f>IF(Dangchung!D47&lt;&gt;0,0,0)</f>
        <v>0</v>
      </c>
      <c r="E47" s="128">
        <f>IF(Dangchung!D47&lt;&gt;0,0,Dangchung!E47)</f>
        <v>0</v>
      </c>
      <c r="F47" s="123">
        <f>IF($E47=0,0,Dangchung!F47)</f>
        <v>0</v>
      </c>
      <c r="G47" s="123">
        <f>IF($E47=0,0,Dangchung!G47)</f>
        <v>0</v>
      </c>
      <c r="H47" s="123">
        <f>IF($E47=0,0,Dangchung!H47)</f>
        <v>0</v>
      </c>
      <c r="I47" s="125">
        <f>IF($E47=0,0,Dangchung!I47)</f>
        <v>0</v>
      </c>
      <c r="J47" s="125">
        <f>IF($E47=0,0,Dangchung!J47)</f>
        <v>0</v>
      </c>
      <c r="K47" s="123">
        <f>IF($E47=0,0,Dangchung!K47)</f>
        <v>0</v>
      </c>
      <c r="L47" s="123">
        <f>IF($E47=0,0,Dangchung!L47)</f>
        <v>0</v>
      </c>
      <c r="M47" s="123">
        <f>IF($E47=0,0,Dangchung!M47)</f>
        <v>0</v>
      </c>
      <c r="N47" s="123">
        <f>IF($E47=0,0,Dangchung!N47)</f>
        <v>0</v>
      </c>
      <c r="O47" s="123">
        <f>IF($E47=0,0,Dangchung!O47)</f>
        <v>0</v>
      </c>
      <c r="P47" s="123">
        <f>IF($E47=0,0,Dangchung!P47)</f>
        <v>0</v>
      </c>
      <c r="Q47" s="123">
        <f>IF($E47=0,0,Dangchung!Q47)</f>
        <v>0</v>
      </c>
      <c r="R47" s="123">
        <f>IF($E47=0,0,Dangchung!R47)</f>
        <v>0</v>
      </c>
      <c r="S47" s="123">
        <f>IF($E47=0,0,Dangchung!S47)</f>
        <v>0</v>
      </c>
      <c r="T47" s="123">
        <f>IF($E47=0,0,Dangchung!T47)</f>
        <v>0</v>
      </c>
      <c r="U47" s="123">
        <f>IF($E47=0,0,Dangchung!U47)</f>
        <v>0</v>
      </c>
      <c r="V47" s="123">
        <f>IF($E47=0,0,Dangchung!V47)</f>
        <v>0</v>
      </c>
      <c r="W47" s="241">
        <f>IF($E47=0,0,Dangchung!W47)</f>
        <v>0</v>
      </c>
      <c r="X47" s="241">
        <f>IF($E47=0,0,Dangchung!X47)</f>
        <v>0</v>
      </c>
      <c r="Y47" s="241">
        <f>IF($E47=0,0,Dangchung!Y47)</f>
        <v>0</v>
      </c>
      <c r="Z47" s="241">
        <f>IF($E47=0,0,Dangchung!Z47)</f>
        <v>0</v>
      </c>
      <c r="AA47" s="241">
        <f>IF($E47=0,0,Dangchung!AA47)</f>
        <v>0</v>
      </c>
      <c r="AB47" s="241">
        <f>IF($E47=0,0,Dangchung!AB47)</f>
        <v>0</v>
      </c>
      <c r="AC47" s="241">
        <f>IF($E47=0,0,Dangchung!AC47)</f>
        <v>0</v>
      </c>
      <c r="AD47" s="241">
        <f>IF($E47=0,0,Dangchung!AD47)</f>
        <v>0</v>
      </c>
      <c r="AE47" s="241">
        <f>IF($E47=0,0,Dangchung!AE47)</f>
        <v>0</v>
      </c>
      <c r="AF47" s="241">
        <f>IF($E47=0,0,Dangchung!AF47)</f>
        <v>0</v>
      </c>
      <c r="AG47" s="241">
        <f>IF($E47=0,0,Dangchung!AG47)</f>
        <v>0</v>
      </c>
      <c r="AH47" s="241">
        <f>IF($E47=0,0,Dangchung!AH47)</f>
        <v>0</v>
      </c>
      <c r="AI47" s="241">
        <f>IF($E47=0,0,Dangchung!AI47)</f>
        <v>0</v>
      </c>
      <c r="AJ47" s="241">
        <f>IF($E47=0,0,Dangchung!AJ47)</f>
        <v>0</v>
      </c>
      <c r="AK47" s="241">
        <f>IF($E47=0,0,Dangchung!AK47)</f>
        <v>0</v>
      </c>
      <c r="AL47" s="212"/>
    </row>
    <row r="48" spans="1:38" s="118" customFormat="1" hidden="1" x14ac:dyDescent="0.25">
      <c r="A48" s="220"/>
      <c r="B48" s="128">
        <f>IF(E48=0,0,MAX($B$8:B47)+1)</f>
        <v>0</v>
      </c>
      <c r="C48" s="132">
        <f>Dangchung!C48</f>
        <v>0</v>
      </c>
      <c r="D48" s="128">
        <f>IF(Dangchung!D48&lt;&gt;0,0,0)</f>
        <v>0</v>
      </c>
      <c r="E48" s="128">
        <f>IF(Dangchung!D48&lt;&gt;0,0,Dangchung!E48)</f>
        <v>0</v>
      </c>
      <c r="F48" s="123">
        <f>IF($E48=0,0,Dangchung!F48)</f>
        <v>0</v>
      </c>
      <c r="G48" s="123">
        <f>IF($E48=0,0,Dangchung!G48)</f>
        <v>0</v>
      </c>
      <c r="H48" s="123">
        <f>IF($E48=0,0,Dangchung!H48)</f>
        <v>0</v>
      </c>
      <c r="I48" s="125">
        <f>IF($E48=0,0,Dangchung!I48)</f>
        <v>0</v>
      </c>
      <c r="J48" s="125">
        <f>IF($E48=0,0,Dangchung!J48)</f>
        <v>0</v>
      </c>
      <c r="K48" s="123">
        <f>IF($E48=0,0,Dangchung!K48)</f>
        <v>0</v>
      </c>
      <c r="L48" s="123">
        <f>IF($E48=0,0,Dangchung!L48)</f>
        <v>0</v>
      </c>
      <c r="M48" s="123">
        <f>IF($E48=0,0,Dangchung!M48)</f>
        <v>0</v>
      </c>
      <c r="N48" s="123">
        <f>IF($E48=0,0,Dangchung!N48)</f>
        <v>0</v>
      </c>
      <c r="O48" s="123">
        <f>IF($E48=0,0,Dangchung!O48)</f>
        <v>0</v>
      </c>
      <c r="P48" s="123">
        <f>IF($E48=0,0,Dangchung!P48)</f>
        <v>0</v>
      </c>
      <c r="Q48" s="123">
        <f>IF($E48=0,0,Dangchung!Q48)</f>
        <v>0</v>
      </c>
      <c r="R48" s="123">
        <f>IF($E48=0,0,Dangchung!R48)</f>
        <v>0</v>
      </c>
      <c r="S48" s="123">
        <f>IF($E48=0,0,Dangchung!S48)</f>
        <v>0</v>
      </c>
      <c r="T48" s="123">
        <f>IF($E48=0,0,Dangchung!T48)</f>
        <v>0</v>
      </c>
      <c r="U48" s="123">
        <f>IF($E48=0,0,Dangchung!U48)</f>
        <v>0</v>
      </c>
      <c r="V48" s="123">
        <f>IF($E48=0,0,Dangchung!V48)</f>
        <v>0</v>
      </c>
      <c r="W48" s="241">
        <f>IF($E48=0,0,Dangchung!W48)</f>
        <v>0</v>
      </c>
      <c r="X48" s="241">
        <f>IF($E48=0,0,Dangchung!X48)</f>
        <v>0</v>
      </c>
      <c r="Y48" s="241">
        <f>IF($E48=0,0,Dangchung!Y48)</f>
        <v>0</v>
      </c>
      <c r="Z48" s="241">
        <f>IF($E48=0,0,Dangchung!Z48)</f>
        <v>0</v>
      </c>
      <c r="AA48" s="241">
        <f>IF($E48=0,0,Dangchung!AA48)</f>
        <v>0</v>
      </c>
      <c r="AB48" s="241">
        <f>IF($E48=0,0,Dangchung!AB48)</f>
        <v>0</v>
      </c>
      <c r="AC48" s="241">
        <f>IF($E48=0,0,Dangchung!AC48)</f>
        <v>0</v>
      </c>
      <c r="AD48" s="241">
        <f>IF($E48=0,0,Dangchung!AD48)</f>
        <v>0</v>
      </c>
      <c r="AE48" s="241">
        <f>IF($E48=0,0,Dangchung!AE48)</f>
        <v>0</v>
      </c>
      <c r="AF48" s="241">
        <f>IF($E48=0,0,Dangchung!AF48)</f>
        <v>0</v>
      </c>
      <c r="AG48" s="241">
        <f>IF($E48=0,0,Dangchung!AG48)</f>
        <v>0</v>
      </c>
      <c r="AH48" s="241">
        <f>IF($E48=0,0,Dangchung!AH48)</f>
        <v>0</v>
      </c>
      <c r="AI48" s="241">
        <f>IF($E48=0,0,Dangchung!AI48)</f>
        <v>0</v>
      </c>
      <c r="AJ48" s="241">
        <f>IF($E48=0,0,Dangchung!AJ48)</f>
        <v>0</v>
      </c>
      <c r="AK48" s="241">
        <f>IF($E48=0,0,Dangchung!AK48)</f>
        <v>0</v>
      </c>
      <c r="AL48" s="212"/>
    </row>
    <row r="49" spans="1:38" s="118" customFormat="1" hidden="1" x14ac:dyDescent="0.25">
      <c r="A49" s="220"/>
      <c r="B49" s="128">
        <f>IF(E49=0,0,MAX($B$8:B48)+1)</f>
        <v>0</v>
      </c>
      <c r="C49" s="143">
        <f>Dangchung!C49</f>
        <v>0</v>
      </c>
      <c r="D49" s="142">
        <f>IF(Dangchung!D49&lt;&gt;0,0,0)</f>
        <v>0</v>
      </c>
      <c r="E49" s="142">
        <f>IF(Dangchung!D49&lt;&gt;0,0,Dangchung!E49)</f>
        <v>0</v>
      </c>
      <c r="F49" s="145">
        <f>IF($E49=0,0,Dangchung!F49)</f>
        <v>0</v>
      </c>
      <c r="G49" s="145">
        <f>IF($E49=0,0,Dangchung!G49)</f>
        <v>0</v>
      </c>
      <c r="H49" s="145">
        <f>IF($E49=0,0,Dangchung!H49)</f>
        <v>0</v>
      </c>
      <c r="I49" s="147">
        <f>IF($E49=0,0,Dangchung!I49)</f>
        <v>0</v>
      </c>
      <c r="J49" s="147">
        <f>IF($E49=0,0,Dangchung!J49)</f>
        <v>0</v>
      </c>
      <c r="K49" s="145">
        <f>IF($E49=0,0,Dangchung!K49)</f>
        <v>0</v>
      </c>
      <c r="L49" s="145">
        <f>IF($E49=0,0,Dangchung!L49)</f>
        <v>0</v>
      </c>
      <c r="M49" s="145">
        <f>IF($E49=0,0,Dangchung!M49)</f>
        <v>0</v>
      </c>
      <c r="N49" s="145">
        <f>IF($E49=0,0,Dangchung!N49)</f>
        <v>0</v>
      </c>
      <c r="O49" s="145">
        <f>IF($E49=0,0,Dangchung!O49)</f>
        <v>0</v>
      </c>
      <c r="P49" s="145">
        <f>IF($E49=0,0,Dangchung!P49)</f>
        <v>0</v>
      </c>
      <c r="Q49" s="145">
        <f>IF($E49=0,0,Dangchung!Q49)</f>
        <v>0</v>
      </c>
      <c r="R49" s="145">
        <f>IF($E49=0,0,Dangchung!R49)</f>
        <v>0</v>
      </c>
      <c r="S49" s="145">
        <f>IF($E49=0,0,Dangchung!S49)</f>
        <v>0</v>
      </c>
      <c r="T49" s="145">
        <f>IF($E49=0,0,Dangchung!T49)</f>
        <v>0</v>
      </c>
      <c r="U49" s="145">
        <f>IF($E49=0,0,Dangchung!U49)</f>
        <v>0</v>
      </c>
      <c r="V49" s="145">
        <f>IF($E49=0,0,Dangchung!V49)</f>
        <v>0</v>
      </c>
      <c r="W49" s="242">
        <f>IF($E49=0,0,Dangchung!W49)</f>
        <v>0</v>
      </c>
      <c r="X49" s="242">
        <f>IF($E49=0,0,Dangchung!X49)</f>
        <v>0</v>
      </c>
      <c r="Y49" s="242">
        <f>IF($E49=0,0,Dangchung!Y49)</f>
        <v>0</v>
      </c>
      <c r="Z49" s="242">
        <f>IF($E49=0,0,Dangchung!Z49)</f>
        <v>0</v>
      </c>
      <c r="AA49" s="242">
        <f>IF($E49=0,0,Dangchung!AA49)</f>
        <v>0</v>
      </c>
      <c r="AB49" s="242">
        <f>IF($E49=0,0,Dangchung!AB49)</f>
        <v>0</v>
      </c>
      <c r="AC49" s="242">
        <f>IF($E49=0,0,Dangchung!AC49)</f>
        <v>0</v>
      </c>
      <c r="AD49" s="242">
        <f>IF($E49=0,0,Dangchung!AD49)</f>
        <v>0</v>
      </c>
      <c r="AE49" s="242">
        <f>IF($E49=0,0,Dangchung!AE49)</f>
        <v>0</v>
      </c>
      <c r="AF49" s="242">
        <f>IF($E49=0,0,Dangchung!AF49)</f>
        <v>0</v>
      </c>
      <c r="AG49" s="242">
        <f>IF($E49=0,0,Dangchung!AG49)</f>
        <v>0</v>
      </c>
      <c r="AH49" s="242">
        <f>IF($E49=0,0,Dangchung!AH49)</f>
        <v>0</v>
      </c>
      <c r="AI49" s="242">
        <f>IF($E49=0,0,Dangchung!AI49)</f>
        <v>0</v>
      </c>
      <c r="AJ49" s="242">
        <f>IF($E49=0,0,Dangchung!AJ49)</f>
        <v>0</v>
      </c>
      <c r="AK49" s="242">
        <f>IF($E49=0,0,Dangchung!AK49)</f>
        <v>0</v>
      </c>
      <c r="AL49" s="212"/>
    </row>
    <row r="50" spans="1:38" x14ac:dyDescent="0.25">
      <c r="A50" s="220"/>
      <c r="B50" s="128">
        <f>IF(E50=0,0,MAX($B$8:B49)+1)</f>
        <v>22</v>
      </c>
      <c r="C50" s="152">
        <f>Dangchung!C50</f>
        <v>1</v>
      </c>
      <c r="D50" s="151">
        <f>IF(Dangchung!D50&lt;&gt;0,0,0)</f>
        <v>0</v>
      </c>
      <c r="E50" s="151" t="str">
        <f>IF(Dangchung!D50&lt;&gt;0,0,Dangchung!E50)</f>
        <v>Lê Thị Bích Ngọc</v>
      </c>
      <c r="F50" s="123" t="str">
        <f>IF($E50=0,0,Dangchung!F50)</f>
        <v>x</v>
      </c>
      <c r="G50" s="123">
        <f>IF($E50=0,0,Dangchung!G50)</f>
        <v>0</v>
      </c>
      <c r="H50" s="123" t="str">
        <f>IF($E50=0,0,Dangchung!H50)</f>
        <v>08/10/1979</v>
      </c>
      <c r="I50" s="185">
        <f>IF($E50=0,0,Dangchung!I50)</f>
        <v>0</v>
      </c>
      <c r="J50" s="185">
        <f>IF($E50=0,0,Dangchung!J50)</f>
        <v>1979</v>
      </c>
      <c r="K50" s="123" t="str">
        <f>IF($E50=0,0,Dangchung!K50)</f>
        <v>GV</v>
      </c>
      <c r="L50" s="123">
        <f>IF($E50=0,0,Dangchung!L50)</f>
        <v>0</v>
      </c>
      <c r="M50" s="123" t="str">
        <f>IF($E50=0,0,Dangchung!M50)</f>
        <v>Phật</v>
      </c>
      <c r="N50" s="123" t="str">
        <f>IF($E50=0,0,Dangchung!N50)</f>
        <v>Nông dân</v>
      </c>
      <c r="O50" s="123" t="str">
        <f>IF($E50=0,0,Dangchung!O50)</f>
        <v>Cái Dầu-AG</v>
      </c>
      <c r="P50" s="123" t="str">
        <f>IF($E50=0,0,Dangchung!P50)</f>
        <v>Cái Dầu-Châu Phú-AG</v>
      </c>
      <c r="Q50" s="123" t="str">
        <f>IF($E50=0,0,Dangchung!Q50)</f>
        <v>Vĩnh Phúc, Cái Dầu</v>
      </c>
      <c r="R50" s="123" t="str">
        <f>IF($E50=0,0,Dangchung!R50)</f>
        <v>PTTH/98/TB</v>
      </c>
      <c r="S50" s="123" t="str">
        <f>IF($E50=0,0,Dangchung!S50)</f>
        <v>CĐ3/Toán-Tin/01/TB</v>
      </c>
      <c r="T50" s="123" t="str">
        <f>IF($E50=0,0,Dangchung!T50)</f>
        <v>ĐHTX/Toán/07/Khá</v>
      </c>
      <c r="U50" s="123">
        <f>IF($E50=0,0,Dangchung!U50)</f>
        <v>0</v>
      </c>
      <c r="V50" s="123" t="str">
        <f>IF($E50=0,0,Dangchung!V50)</f>
        <v>ĐHTX</v>
      </c>
      <c r="W50" s="241">
        <f>IF($E50=0,0,Dangchung!W50)</f>
        <v>0</v>
      </c>
      <c r="X50" s="241" t="str">
        <f>IF($E50=0,0,Dangchung!X50)</f>
        <v>SC/14</v>
      </c>
      <c r="Y50" s="241" t="str">
        <f>IF($E50=0,0,Dangchung!Y50)</f>
        <v>A/00/Khá</v>
      </c>
      <c r="Z50" s="241" t="str">
        <f>IF($E50=0,0,Dangchung!Z50)</f>
        <v>A/Anh/06/TB</v>
      </c>
      <c r="AA50" s="241">
        <f>IF($E50=0,0,Dangchung!AA50)</f>
        <v>0</v>
      </c>
      <c r="AB50" s="241">
        <f>IF($E50=0,0,Dangchung!AB50)</f>
        <v>0</v>
      </c>
      <c r="AC50" s="241">
        <f>IF($E50=0,0,Dangchung!AC50)</f>
        <v>0</v>
      </c>
      <c r="AD50" s="241" t="str">
        <f>IF($E50=0,0,Dangchung!AD50)</f>
        <v>CN/07/Khá</v>
      </c>
      <c r="AE50" s="241">
        <f>IF($E50=0,0,Dangchung!AE50)</f>
        <v>351310081</v>
      </c>
      <c r="AF50" s="241" t="str">
        <f>IF($E50=0,0,Dangchung!AF50)</f>
        <v>28/05/2007</v>
      </c>
      <c r="AG50" s="241" t="str">
        <f>IF($E50=0,0,Dangchung!AG50)</f>
        <v>01/09/2001</v>
      </c>
      <c r="AH50" s="241" t="str">
        <f>IF($E50=0,0,Dangchung!AH50)</f>
        <v>22/11/2008</v>
      </c>
      <c r="AI50" s="241" t="str">
        <f>IF($E50=0,0,Dangchung!AI50)</f>
        <v>31.038 079</v>
      </c>
      <c r="AJ50" s="241">
        <f>IF($E50=0,0,Dangchung!AJ50)</f>
        <v>2008</v>
      </c>
      <c r="AK50" s="241" t="str">
        <f>IF($E50=0,0,Dangchung!AK50)</f>
        <v>0918469017</v>
      </c>
      <c r="AL50" s="212"/>
    </row>
    <row r="51" spans="1:38" hidden="1" x14ac:dyDescent="0.25">
      <c r="A51" s="220"/>
      <c r="B51" s="128">
        <f>IF(E51=0,0,MAX($B$8:B50)+1)</f>
        <v>0</v>
      </c>
      <c r="C51" s="163">
        <f>Dangchung!C51</f>
        <v>0</v>
      </c>
      <c r="D51" s="162">
        <f>IF(Dangchung!D51&lt;&gt;0,0,0)</f>
        <v>0</v>
      </c>
      <c r="E51" s="162">
        <f>IF(Dangchung!D51&lt;&gt;0,0,Dangchung!E51)</f>
        <v>0</v>
      </c>
      <c r="F51" s="123">
        <f>IF($E51=0,0,Dangchung!F51)</f>
        <v>0</v>
      </c>
      <c r="G51" s="123">
        <f>IF($E51=0,0,Dangchung!G51)</f>
        <v>0</v>
      </c>
      <c r="H51" s="123">
        <f>IF($E51=0,0,Dangchung!H51)</f>
        <v>0</v>
      </c>
      <c r="I51" s="125">
        <f>IF($E51=0,0,Dangchung!I51)</f>
        <v>0</v>
      </c>
      <c r="J51" s="125">
        <f>IF($E51=0,0,Dangchung!J51)</f>
        <v>0</v>
      </c>
      <c r="K51" s="123">
        <f>IF($E51=0,0,Dangchung!K51)</f>
        <v>0</v>
      </c>
      <c r="L51" s="123">
        <f>IF($E51=0,0,Dangchung!L51)</f>
        <v>0</v>
      </c>
      <c r="M51" s="123">
        <f>IF($E51=0,0,Dangchung!M51)</f>
        <v>0</v>
      </c>
      <c r="N51" s="123">
        <f>IF($E51=0,0,Dangchung!N51)</f>
        <v>0</v>
      </c>
      <c r="O51" s="123">
        <f>IF($E51=0,0,Dangchung!O51)</f>
        <v>0</v>
      </c>
      <c r="P51" s="123">
        <f>IF($E51=0,0,Dangchung!P51)</f>
        <v>0</v>
      </c>
      <c r="Q51" s="123">
        <f>IF($E51=0,0,Dangchung!Q51)</f>
        <v>0</v>
      </c>
      <c r="R51" s="123">
        <f>IF($E51=0,0,Dangchung!R51)</f>
        <v>0</v>
      </c>
      <c r="S51" s="123">
        <f>IF($E51=0,0,Dangchung!S51)</f>
        <v>0</v>
      </c>
      <c r="T51" s="123">
        <f>IF($E51=0,0,Dangchung!T51)</f>
        <v>0</v>
      </c>
      <c r="U51" s="123">
        <f>IF($E51=0,0,Dangchung!U51)</f>
        <v>0</v>
      </c>
      <c r="V51" s="123">
        <f>IF($E51=0,0,Dangchung!V51)</f>
        <v>0</v>
      </c>
      <c r="W51" s="241">
        <f>IF($E51=0,0,Dangchung!W51)</f>
        <v>0</v>
      </c>
      <c r="X51" s="241">
        <f>IF($E51=0,0,Dangchung!X51)</f>
        <v>0</v>
      </c>
      <c r="Y51" s="241">
        <f>IF($E51=0,0,Dangchung!Y51)</f>
        <v>0</v>
      </c>
      <c r="Z51" s="241">
        <f>IF($E51=0,0,Dangchung!Z51)</f>
        <v>0</v>
      </c>
      <c r="AA51" s="241">
        <f>IF($E51=0,0,Dangchung!AA51)</f>
        <v>0</v>
      </c>
      <c r="AB51" s="241">
        <f>IF($E51=0,0,Dangchung!AB51)</f>
        <v>0</v>
      </c>
      <c r="AC51" s="241">
        <f>IF($E51=0,0,Dangchung!AC51)</f>
        <v>0</v>
      </c>
      <c r="AD51" s="241">
        <f>IF($E51=0,0,Dangchung!AD51)</f>
        <v>0</v>
      </c>
      <c r="AE51" s="241">
        <f>IF($E51=0,0,Dangchung!AE51)</f>
        <v>0</v>
      </c>
      <c r="AF51" s="241">
        <f>IF($E51=0,0,Dangchung!AF51)</f>
        <v>0</v>
      </c>
      <c r="AG51" s="241">
        <f>IF($E51=0,0,Dangchung!AG51)</f>
        <v>0</v>
      </c>
      <c r="AH51" s="241">
        <f>IF($E51=0,0,Dangchung!AH51)</f>
        <v>0</v>
      </c>
      <c r="AI51" s="241">
        <f>IF($E51=0,0,Dangchung!AI51)</f>
        <v>0</v>
      </c>
      <c r="AJ51" s="241">
        <f>IF($E51=0,0,Dangchung!AJ51)</f>
        <v>0</v>
      </c>
      <c r="AK51" s="241">
        <f>IF($E51=0,0,Dangchung!AK51)</f>
        <v>0</v>
      </c>
      <c r="AL51" s="212"/>
    </row>
    <row r="52" spans="1:38" x14ac:dyDescent="0.25">
      <c r="A52" s="220"/>
      <c r="B52" s="128">
        <f>IF(E52=0,0,MAX($B$8:B51)+1)</f>
        <v>23</v>
      </c>
      <c r="C52" s="163">
        <f>Dangchung!C52</f>
        <v>2</v>
      </c>
      <c r="D52" s="162">
        <f>IF(Dangchung!D52&lt;&gt;0,0,0)</f>
        <v>0</v>
      </c>
      <c r="E52" s="162" t="str">
        <f>IF(Dangchung!D52&lt;&gt;0,0,Dangchung!E52)</f>
        <v>Trịnh Xuân Văn</v>
      </c>
      <c r="F52" s="123">
        <f>IF($E52=0,0,Dangchung!F52)</f>
        <v>0</v>
      </c>
      <c r="G52" s="123" t="str">
        <f>IF($E52=0,0,Dangchung!G52)</f>
        <v>27/12/1984</v>
      </c>
      <c r="H52" s="123">
        <f>IF($E52=0,0,Dangchung!H52)</f>
        <v>0</v>
      </c>
      <c r="I52" s="125">
        <f>IF($E52=0,0,Dangchung!I52)</f>
        <v>1984</v>
      </c>
      <c r="J52" s="125">
        <f>IF($E52=0,0,Dangchung!J52)</f>
        <v>0</v>
      </c>
      <c r="K52" s="123" t="str">
        <f>IF($E52=0,0,Dangchung!K52)</f>
        <v>GV</v>
      </c>
      <c r="L52" s="123">
        <f>IF($E52=0,0,Dangchung!L52)</f>
        <v>0</v>
      </c>
      <c r="M52" s="123" t="str">
        <f>IF($E52=0,0,Dangchung!M52)</f>
        <v>x</v>
      </c>
      <c r="N52" s="123" t="str">
        <f>IF($E52=0,0,Dangchung!N52)</f>
        <v>Bần nông</v>
      </c>
      <c r="O52" s="123" t="str">
        <f>IF($E52=0,0,Dangchung!O52)</f>
        <v>Yên Phong-Thanh Hóa</v>
      </c>
      <c r="P52" s="123" t="str">
        <f>IF($E52=0,0,Dangchung!P52)</f>
        <v>Yên Phong-Yên Định-Thanh Hóa</v>
      </c>
      <c r="Q52" s="123" t="str">
        <f>IF($E52=0,0,Dangchung!Q52)</f>
        <v>17 Vĩnh Hưng-VTT</v>
      </c>
      <c r="R52" s="123" t="str">
        <f>IF($E52=0,0,Dangchung!R52)</f>
        <v>PTTH/02/TB</v>
      </c>
      <c r="S52" s="123" t="str">
        <f>IF($E52=0,0,Dangchung!S52)</f>
        <v>ĐHCQ/Toán/07/TBK</v>
      </c>
      <c r="T52" s="123">
        <f>IF($E52=0,0,Dangchung!T52)</f>
        <v>0</v>
      </c>
      <c r="U52" s="123">
        <f>IF($E52=0,0,Dangchung!U52)</f>
        <v>0</v>
      </c>
      <c r="V52" s="123" t="str">
        <f>IF($E52=0,0,Dangchung!V52)</f>
        <v>ĐHCQ</v>
      </c>
      <c r="W52" s="241">
        <f>IF($E52=0,0,Dangchung!W52)</f>
        <v>0</v>
      </c>
      <c r="X52" s="241" t="str">
        <f>IF($E52=0,0,Dangchung!X52)</f>
        <v>SC/18</v>
      </c>
      <c r="Y52" s="241" t="str">
        <f>IF($E52=0,0,Dangchung!Y52)</f>
        <v>A/08/TB</v>
      </c>
      <c r="Z52" s="241" t="str">
        <f>IF($E52=0,0,Dangchung!Z52)</f>
        <v>B/Anh/08/TB</v>
      </c>
      <c r="AA52" s="241">
        <f>IF($E52=0,0,Dangchung!AA52)</f>
        <v>0</v>
      </c>
      <c r="AB52" s="241">
        <f>IF($E52=0,0,Dangchung!AB52)</f>
        <v>0</v>
      </c>
      <c r="AC52" s="241">
        <f>IF($E52=0,0,Dangchung!AC52)</f>
        <v>0</v>
      </c>
      <c r="AD52" s="241" t="str">
        <f>IF($E52=0,0,Dangchung!AD52)</f>
        <v>CN/15/Khá</v>
      </c>
      <c r="AE52" s="241">
        <f>IF($E52=0,0,Dangchung!AE52)</f>
        <v>352091352</v>
      </c>
      <c r="AF52" s="241" t="str">
        <f>IF($E52=0,0,Dangchung!AF52)</f>
        <v>24/05/2013</v>
      </c>
      <c r="AG52" s="241" t="str">
        <f>IF($E52=0,0,Dangchung!AG52)</f>
        <v>01/09/2007</v>
      </c>
      <c r="AH52" s="241" t="str">
        <f>IF($E52=0,0,Dangchung!AH52)</f>
        <v>24/08/2013</v>
      </c>
      <c r="AI52" s="241" t="str">
        <f>IF($E52=0,0,Dangchung!AI52)</f>
        <v>31.054 651</v>
      </c>
      <c r="AJ52" s="241">
        <f>IF($E52=0,0,Dangchung!AJ52)</f>
        <v>2013</v>
      </c>
      <c r="AK52" s="241" t="str">
        <f>IF($E52=0,0,Dangchung!AK52)</f>
        <v>0962187567</v>
      </c>
      <c r="AL52" s="212"/>
    </row>
    <row r="53" spans="1:38" hidden="1" x14ac:dyDescent="0.25">
      <c r="A53" s="220"/>
      <c r="B53" s="128">
        <f>IF(E53=0,0,MAX($B$8:B52)+1)</f>
        <v>0</v>
      </c>
      <c r="C53" s="163">
        <f>Dangchung!C53</f>
        <v>0</v>
      </c>
      <c r="D53" s="162">
        <f>IF(Dangchung!D53&lt;&gt;0,0,0)</f>
        <v>0</v>
      </c>
      <c r="E53" s="162">
        <f>IF(Dangchung!D53&lt;&gt;0,0,Dangchung!E53)</f>
        <v>0</v>
      </c>
      <c r="F53" s="123">
        <f>IF($E53=0,0,Dangchung!F53)</f>
        <v>0</v>
      </c>
      <c r="G53" s="123">
        <f>IF($E53=0,0,Dangchung!G53)</f>
        <v>0</v>
      </c>
      <c r="H53" s="123">
        <f>IF($E53=0,0,Dangchung!H53)</f>
        <v>0</v>
      </c>
      <c r="I53" s="125">
        <f>IF($E53=0,0,Dangchung!I53)</f>
        <v>0</v>
      </c>
      <c r="J53" s="125">
        <f>IF($E53=0,0,Dangchung!J53)</f>
        <v>0</v>
      </c>
      <c r="K53" s="123">
        <f>IF($E53=0,0,Dangchung!K53)</f>
        <v>0</v>
      </c>
      <c r="L53" s="123">
        <f>IF($E53=0,0,Dangchung!L53)</f>
        <v>0</v>
      </c>
      <c r="M53" s="123">
        <f>IF($E53=0,0,Dangchung!M53)</f>
        <v>0</v>
      </c>
      <c r="N53" s="123">
        <f>IF($E53=0,0,Dangchung!N53)</f>
        <v>0</v>
      </c>
      <c r="O53" s="123">
        <f>IF($E53=0,0,Dangchung!O53)</f>
        <v>0</v>
      </c>
      <c r="P53" s="123">
        <f>IF($E53=0,0,Dangchung!P53)</f>
        <v>0</v>
      </c>
      <c r="Q53" s="123">
        <f>IF($E53=0,0,Dangchung!Q53)</f>
        <v>0</v>
      </c>
      <c r="R53" s="123">
        <f>IF($E53=0,0,Dangchung!R53)</f>
        <v>0</v>
      </c>
      <c r="S53" s="123">
        <f>IF($E53=0,0,Dangchung!S53)</f>
        <v>0</v>
      </c>
      <c r="T53" s="123">
        <f>IF($E53=0,0,Dangchung!T53)</f>
        <v>0</v>
      </c>
      <c r="U53" s="123">
        <f>IF($E53=0,0,Dangchung!U53)</f>
        <v>0</v>
      </c>
      <c r="V53" s="123">
        <f>IF($E53=0,0,Dangchung!V53)</f>
        <v>0</v>
      </c>
      <c r="W53" s="241">
        <f>IF($E53=0,0,Dangchung!W53)</f>
        <v>0</v>
      </c>
      <c r="X53" s="241">
        <f>IF($E53=0,0,Dangchung!X53)</f>
        <v>0</v>
      </c>
      <c r="Y53" s="241">
        <f>IF($E53=0,0,Dangchung!Y53)</f>
        <v>0</v>
      </c>
      <c r="Z53" s="241">
        <f>IF($E53=0,0,Dangchung!Z53)</f>
        <v>0</v>
      </c>
      <c r="AA53" s="241">
        <f>IF($E53=0,0,Dangchung!AA53)</f>
        <v>0</v>
      </c>
      <c r="AB53" s="241">
        <f>IF($E53=0,0,Dangchung!AB53)</f>
        <v>0</v>
      </c>
      <c r="AC53" s="241">
        <f>IF($E53=0,0,Dangchung!AC53)</f>
        <v>0</v>
      </c>
      <c r="AD53" s="241">
        <f>IF($E53=0,0,Dangchung!AD53)</f>
        <v>0</v>
      </c>
      <c r="AE53" s="241">
        <f>IF($E53=0,0,Dangchung!AE53)</f>
        <v>0</v>
      </c>
      <c r="AF53" s="241">
        <f>IF($E53=0,0,Dangchung!AF53)</f>
        <v>0</v>
      </c>
      <c r="AG53" s="241">
        <f>IF($E53=0,0,Dangchung!AG53)</f>
        <v>0</v>
      </c>
      <c r="AH53" s="241">
        <f>IF($E53=0,0,Dangchung!AH53)</f>
        <v>0</v>
      </c>
      <c r="AI53" s="241">
        <f>IF($E53=0,0,Dangchung!AI53)</f>
        <v>0</v>
      </c>
      <c r="AJ53" s="241">
        <f>IF($E53=0,0,Dangchung!AJ53)</f>
        <v>0</v>
      </c>
      <c r="AK53" s="241">
        <f>IF($E53=0,0,Dangchung!AK53)</f>
        <v>0</v>
      </c>
      <c r="AL53" s="212"/>
    </row>
    <row r="54" spans="1:38" hidden="1" x14ac:dyDescent="0.25">
      <c r="A54" s="220"/>
      <c r="B54" s="128">
        <f>IF(E54=0,0,MAX($B$8:B53)+1)</f>
        <v>0</v>
      </c>
      <c r="C54" s="163">
        <f>Dangchung!C54</f>
        <v>0</v>
      </c>
      <c r="D54" s="162">
        <f>IF(Dangchung!D54&lt;&gt;0,0,0)</f>
        <v>0</v>
      </c>
      <c r="E54" s="162">
        <f>IF(Dangchung!D54&lt;&gt;0,0,Dangchung!E54)</f>
        <v>0</v>
      </c>
      <c r="F54" s="123">
        <f>IF($E54=0,0,Dangchung!F54)</f>
        <v>0</v>
      </c>
      <c r="G54" s="123">
        <f>IF($E54=0,0,Dangchung!G54)</f>
        <v>0</v>
      </c>
      <c r="H54" s="123">
        <f>IF($E54=0,0,Dangchung!H54)</f>
        <v>0</v>
      </c>
      <c r="I54" s="125">
        <f>IF($E54=0,0,Dangchung!I54)</f>
        <v>0</v>
      </c>
      <c r="J54" s="125">
        <f>IF($E54=0,0,Dangchung!J54)</f>
        <v>0</v>
      </c>
      <c r="K54" s="123">
        <f>IF($E54=0,0,Dangchung!K54)</f>
        <v>0</v>
      </c>
      <c r="L54" s="123">
        <f>IF($E54=0,0,Dangchung!L54)</f>
        <v>0</v>
      </c>
      <c r="M54" s="123">
        <f>IF($E54=0,0,Dangchung!M54)</f>
        <v>0</v>
      </c>
      <c r="N54" s="123">
        <f>IF($E54=0,0,Dangchung!N54)</f>
        <v>0</v>
      </c>
      <c r="O54" s="123">
        <f>IF($E54=0,0,Dangchung!O54)</f>
        <v>0</v>
      </c>
      <c r="P54" s="123">
        <f>IF($E54=0,0,Dangchung!P54)</f>
        <v>0</v>
      </c>
      <c r="Q54" s="123">
        <f>IF($E54=0,0,Dangchung!Q54)</f>
        <v>0</v>
      </c>
      <c r="R54" s="123">
        <f>IF($E54=0,0,Dangchung!R54)</f>
        <v>0</v>
      </c>
      <c r="S54" s="123">
        <f>IF($E54=0,0,Dangchung!S54)</f>
        <v>0</v>
      </c>
      <c r="T54" s="123">
        <f>IF($E54=0,0,Dangchung!T54)</f>
        <v>0</v>
      </c>
      <c r="U54" s="123">
        <f>IF($E54=0,0,Dangchung!U54)</f>
        <v>0</v>
      </c>
      <c r="V54" s="123">
        <f>IF($E54=0,0,Dangchung!V54)</f>
        <v>0</v>
      </c>
      <c r="W54" s="241">
        <f>IF($E54=0,0,Dangchung!W54)</f>
        <v>0</v>
      </c>
      <c r="X54" s="241">
        <f>IF($E54=0,0,Dangchung!X54)</f>
        <v>0</v>
      </c>
      <c r="Y54" s="241">
        <f>IF($E54=0,0,Dangchung!Y54)</f>
        <v>0</v>
      </c>
      <c r="Z54" s="241">
        <f>IF($E54=0,0,Dangchung!Z54)</f>
        <v>0</v>
      </c>
      <c r="AA54" s="241">
        <f>IF($E54=0,0,Dangchung!AA54)</f>
        <v>0</v>
      </c>
      <c r="AB54" s="241">
        <f>IF($E54=0,0,Dangchung!AB54)</f>
        <v>0</v>
      </c>
      <c r="AC54" s="241">
        <f>IF($E54=0,0,Dangchung!AC54)</f>
        <v>0</v>
      </c>
      <c r="AD54" s="241">
        <f>IF($E54=0,0,Dangchung!AD54)</f>
        <v>0</v>
      </c>
      <c r="AE54" s="241">
        <f>IF($E54=0,0,Dangchung!AE54)</f>
        <v>0</v>
      </c>
      <c r="AF54" s="241">
        <f>IF($E54=0,0,Dangchung!AF54)</f>
        <v>0</v>
      </c>
      <c r="AG54" s="241">
        <f>IF($E54=0,0,Dangchung!AG54)</f>
        <v>0</v>
      </c>
      <c r="AH54" s="241">
        <f>IF($E54=0,0,Dangchung!AH54)</f>
        <v>0</v>
      </c>
      <c r="AI54" s="241">
        <f>IF($E54=0,0,Dangchung!AI54)</f>
        <v>0</v>
      </c>
      <c r="AJ54" s="241">
        <f>IF($E54=0,0,Dangchung!AJ54)</f>
        <v>0</v>
      </c>
      <c r="AK54" s="241">
        <f>IF($E54=0,0,Dangchung!AK54)</f>
        <v>0</v>
      </c>
      <c r="AL54" s="212"/>
    </row>
    <row r="55" spans="1:38" hidden="1" x14ac:dyDescent="0.25">
      <c r="A55" s="220"/>
      <c r="B55" s="128">
        <f>IF(E55=0,0,MAX($B$8:B54)+1)</f>
        <v>0</v>
      </c>
      <c r="C55" s="163">
        <f>Dangchung!C55</f>
        <v>0</v>
      </c>
      <c r="D55" s="162">
        <f>IF(Dangchung!D55&lt;&gt;0,0,0)</f>
        <v>0</v>
      </c>
      <c r="E55" s="162">
        <f>IF(Dangchung!D55&lt;&gt;0,0,Dangchung!E55)</f>
        <v>0</v>
      </c>
      <c r="F55" s="123">
        <f>IF($E55=0,0,Dangchung!F55)</f>
        <v>0</v>
      </c>
      <c r="G55" s="123">
        <f>IF($E55=0,0,Dangchung!G55)</f>
        <v>0</v>
      </c>
      <c r="H55" s="123">
        <f>IF($E55=0,0,Dangchung!H55)</f>
        <v>0</v>
      </c>
      <c r="I55" s="125">
        <f>IF($E55=0,0,Dangchung!I55)</f>
        <v>0</v>
      </c>
      <c r="J55" s="125">
        <f>IF($E55=0,0,Dangchung!J55)</f>
        <v>0</v>
      </c>
      <c r="K55" s="123">
        <f>IF($E55=0,0,Dangchung!K55)</f>
        <v>0</v>
      </c>
      <c r="L55" s="123">
        <f>IF($E55=0,0,Dangchung!L55)</f>
        <v>0</v>
      </c>
      <c r="M55" s="123">
        <f>IF($E55=0,0,Dangchung!M55)</f>
        <v>0</v>
      </c>
      <c r="N55" s="123">
        <f>IF($E55=0,0,Dangchung!N55)</f>
        <v>0</v>
      </c>
      <c r="O55" s="123">
        <f>IF($E55=0,0,Dangchung!O55)</f>
        <v>0</v>
      </c>
      <c r="P55" s="123">
        <f>IF($E55=0,0,Dangchung!P55)</f>
        <v>0</v>
      </c>
      <c r="Q55" s="123">
        <f>IF($E55=0,0,Dangchung!Q55)</f>
        <v>0</v>
      </c>
      <c r="R55" s="123">
        <f>IF($E55=0,0,Dangchung!R55)</f>
        <v>0</v>
      </c>
      <c r="S55" s="123">
        <f>IF($E55=0,0,Dangchung!S55)</f>
        <v>0</v>
      </c>
      <c r="T55" s="123">
        <f>IF($E55=0,0,Dangchung!T55)</f>
        <v>0</v>
      </c>
      <c r="U55" s="123">
        <f>IF($E55=0,0,Dangchung!U55)</f>
        <v>0</v>
      </c>
      <c r="V55" s="123">
        <f>IF($E55=0,0,Dangchung!V55)</f>
        <v>0</v>
      </c>
      <c r="W55" s="241">
        <f>IF($E55=0,0,Dangchung!W55)</f>
        <v>0</v>
      </c>
      <c r="X55" s="241">
        <f>IF($E55=0,0,Dangchung!X55)</f>
        <v>0</v>
      </c>
      <c r="Y55" s="241">
        <f>IF($E55=0,0,Dangchung!Y55)</f>
        <v>0</v>
      </c>
      <c r="Z55" s="241">
        <f>IF($E55=0,0,Dangchung!Z55)</f>
        <v>0</v>
      </c>
      <c r="AA55" s="241">
        <f>IF($E55=0,0,Dangchung!AA55)</f>
        <v>0</v>
      </c>
      <c r="AB55" s="241">
        <f>IF($E55=0,0,Dangchung!AB55)</f>
        <v>0</v>
      </c>
      <c r="AC55" s="241">
        <f>IF($E55=0,0,Dangchung!AC55)</f>
        <v>0</v>
      </c>
      <c r="AD55" s="241">
        <f>IF($E55=0,0,Dangchung!AD55)</f>
        <v>0</v>
      </c>
      <c r="AE55" s="241">
        <f>IF($E55=0,0,Dangchung!AE55)</f>
        <v>0</v>
      </c>
      <c r="AF55" s="241">
        <f>IF($E55=0,0,Dangchung!AF55)</f>
        <v>0</v>
      </c>
      <c r="AG55" s="241">
        <f>IF($E55=0,0,Dangchung!AG55)</f>
        <v>0</v>
      </c>
      <c r="AH55" s="241">
        <f>IF($E55=0,0,Dangchung!AH55)</f>
        <v>0</v>
      </c>
      <c r="AI55" s="241">
        <f>IF($E55=0,0,Dangchung!AI55)</f>
        <v>0</v>
      </c>
      <c r="AJ55" s="241">
        <f>IF($E55=0,0,Dangchung!AJ55)</f>
        <v>0</v>
      </c>
      <c r="AK55" s="241">
        <f>IF($E55=0,0,Dangchung!AK55)</f>
        <v>0</v>
      </c>
      <c r="AL55" s="212"/>
    </row>
    <row r="56" spans="1:38" hidden="1" x14ac:dyDescent="0.25">
      <c r="A56" s="220"/>
      <c r="B56" s="128">
        <f>IF(E56=0,0,MAX($B$8:B55)+1)</f>
        <v>0</v>
      </c>
      <c r="C56" s="163">
        <f>Dangchung!C56</f>
        <v>0</v>
      </c>
      <c r="D56" s="162">
        <f>IF(Dangchung!D56&lt;&gt;0,0,0)</f>
        <v>0</v>
      </c>
      <c r="E56" s="162">
        <f>IF(Dangchung!D56&lt;&gt;0,0,Dangchung!E56)</f>
        <v>0</v>
      </c>
      <c r="F56" s="123">
        <f>IF($E56=0,0,Dangchung!F56)</f>
        <v>0</v>
      </c>
      <c r="G56" s="123">
        <f>IF($E56=0,0,Dangchung!G56)</f>
        <v>0</v>
      </c>
      <c r="H56" s="123">
        <f>IF($E56=0,0,Dangchung!H56)</f>
        <v>0</v>
      </c>
      <c r="I56" s="125">
        <f>IF($E56=0,0,Dangchung!I56)</f>
        <v>0</v>
      </c>
      <c r="J56" s="125">
        <f>IF($E56=0,0,Dangchung!J56)</f>
        <v>0</v>
      </c>
      <c r="K56" s="123">
        <f>IF($E56=0,0,Dangchung!K56)</f>
        <v>0</v>
      </c>
      <c r="L56" s="123">
        <f>IF($E56=0,0,Dangchung!L56)</f>
        <v>0</v>
      </c>
      <c r="M56" s="123">
        <f>IF($E56=0,0,Dangchung!M56)</f>
        <v>0</v>
      </c>
      <c r="N56" s="123">
        <f>IF($E56=0,0,Dangchung!N56)</f>
        <v>0</v>
      </c>
      <c r="O56" s="123">
        <f>IF($E56=0,0,Dangchung!O56)</f>
        <v>0</v>
      </c>
      <c r="P56" s="123">
        <f>IF($E56=0,0,Dangchung!P56)</f>
        <v>0</v>
      </c>
      <c r="Q56" s="123">
        <f>IF($E56=0,0,Dangchung!Q56)</f>
        <v>0</v>
      </c>
      <c r="R56" s="123">
        <f>IF($E56=0,0,Dangchung!R56)</f>
        <v>0</v>
      </c>
      <c r="S56" s="123">
        <f>IF($E56=0,0,Dangchung!S56)</f>
        <v>0</v>
      </c>
      <c r="T56" s="123">
        <f>IF($E56=0,0,Dangchung!T56)</f>
        <v>0</v>
      </c>
      <c r="U56" s="123">
        <f>IF($E56=0,0,Dangchung!U56)</f>
        <v>0</v>
      </c>
      <c r="V56" s="123">
        <f>IF($E56=0,0,Dangchung!V56)</f>
        <v>0</v>
      </c>
      <c r="W56" s="241">
        <f>IF($E56=0,0,Dangchung!W56)</f>
        <v>0</v>
      </c>
      <c r="X56" s="241">
        <f>IF($E56=0,0,Dangchung!X56)</f>
        <v>0</v>
      </c>
      <c r="Y56" s="241">
        <f>IF($E56=0,0,Dangchung!Y56)</f>
        <v>0</v>
      </c>
      <c r="Z56" s="241">
        <f>IF($E56=0,0,Dangchung!Z56)</f>
        <v>0</v>
      </c>
      <c r="AA56" s="241">
        <f>IF($E56=0,0,Dangchung!AA56)</f>
        <v>0</v>
      </c>
      <c r="AB56" s="241">
        <f>IF($E56=0,0,Dangchung!AB56)</f>
        <v>0</v>
      </c>
      <c r="AC56" s="241">
        <f>IF($E56=0,0,Dangchung!AC56)</f>
        <v>0</v>
      </c>
      <c r="AD56" s="241">
        <f>IF($E56=0,0,Dangchung!AD56)</f>
        <v>0</v>
      </c>
      <c r="AE56" s="241">
        <f>IF($E56=0,0,Dangchung!AE56)</f>
        <v>0</v>
      </c>
      <c r="AF56" s="241">
        <f>IF($E56=0,0,Dangchung!AF56)</f>
        <v>0</v>
      </c>
      <c r="AG56" s="241">
        <f>IF($E56=0,0,Dangchung!AG56)</f>
        <v>0</v>
      </c>
      <c r="AH56" s="241">
        <f>IF($E56=0,0,Dangchung!AH56)</f>
        <v>0</v>
      </c>
      <c r="AI56" s="241">
        <f>IF($E56=0,0,Dangchung!AI56)</f>
        <v>0</v>
      </c>
      <c r="AJ56" s="241">
        <f>IF($E56=0,0,Dangchung!AJ56)</f>
        <v>0</v>
      </c>
      <c r="AK56" s="241">
        <f>IF($E56=0,0,Dangchung!AK56)</f>
        <v>0</v>
      </c>
      <c r="AL56" s="212"/>
    </row>
    <row r="57" spans="1:38" x14ac:dyDescent="0.25">
      <c r="A57" s="220"/>
      <c r="B57" s="128">
        <f>IF(E57=0,0,MAX($B$8:B56)+1)</f>
        <v>24</v>
      </c>
      <c r="C57" s="163">
        <f>Dangchung!C57</f>
        <v>3</v>
      </c>
      <c r="D57" s="162">
        <f>IF(Dangchung!D57&lt;&gt;0,0,0)</f>
        <v>0</v>
      </c>
      <c r="E57" s="162" t="str">
        <f>IF(Dangchung!D57&lt;&gt;0,0,Dangchung!E57)</f>
        <v>Đoàn Tô Ngọc Hương</v>
      </c>
      <c r="F57" s="123" t="str">
        <f>IF($E57=0,0,Dangchung!F57)</f>
        <v>x</v>
      </c>
      <c r="G57" s="123">
        <f>IF($E57=0,0,Dangchung!G57)</f>
        <v>0</v>
      </c>
      <c r="H57" s="123" t="str">
        <f>IF($E57=0,0,Dangchung!H57)</f>
        <v>28/07/1981</v>
      </c>
      <c r="I57" s="125">
        <f>IF($E57=0,0,Dangchung!I57)</f>
        <v>0</v>
      </c>
      <c r="J57" s="125">
        <f>IF($E57=0,0,Dangchung!J57)</f>
        <v>1981</v>
      </c>
      <c r="K57" s="123" t="str">
        <f>IF($E57=0,0,Dangchung!K57)</f>
        <v>GV</v>
      </c>
      <c r="L57" s="123">
        <f>IF($E57=0,0,Dangchung!L57)</f>
        <v>0</v>
      </c>
      <c r="M57" s="123" t="str">
        <f>IF($E57=0,0,Dangchung!M57)</f>
        <v>Phật</v>
      </c>
      <c r="N57" s="123" t="str">
        <f>IF($E57=0,0,Dangchung!N57)</f>
        <v>Trí thức</v>
      </c>
      <c r="O57" s="123" t="str">
        <f>IF($E57=0,0,Dangchung!O57)</f>
        <v>Vĩnh Thạnh Trung-AG</v>
      </c>
      <c r="P57" s="123" t="str">
        <f>IF($E57=0,0,Dangchung!P57)</f>
        <v>Vĩnh Thạnh Trung-Châu Phú</v>
      </c>
      <c r="Q57" s="123" t="str">
        <f>IF($E57=0,0,Dangchung!Q57)</f>
        <v>Vĩnh Hưng-VTT</v>
      </c>
      <c r="R57" s="123" t="str">
        <f>IF($E57=0,0,Dangchung!R57)</f>
        <v>PTTH/99/Khá</v>
      </c>
      <c r="S57" s="123" t="str">
        <f>IF($E57=0,0,Dangchung!S57)</f>
        <v>CĐ3/Toán-Tin/03/Khá</v>
      </c>
      <c r="T57" s="123" t="str">
        <f>IF($E57=0,0,Dangchung!T57)</f>
        <v>ĐHTX/Toán/08/TBK</v>
      </c>
      <c r="U57" s="123">
        <f>IF($E57=0,0,Dangchung!U57)</f>
        <v>0</v>
      </c>
      <c r="V57" s="123" t="str">
        <f>IF($E57=0,0,Dangchung!V57)</f>
        <v>ĐHTX</v>
      </c>
      <c r="W57" s="241">
        <f>IF($E57=0,0,Dangchung!W57)</f>
        <v>0</v>
      </c>
      <c r="X57" s="241">
        <f>IF($E57=0,0,Dangchung!X57)</f>
        <v>0</v>
      </c>
      <c r="Y57" s="241" t="str">
        <f>IF($E57=0,0,Dangchung!Y57)</f>
        <v>A/04/Giỏi</v>
      </c>
      <c r="Z57" s="241">
        <f>IF($E57=0,0,Dangchung!Z57)</f>
        <v>0</v>
      </c>
      <c r="AA57" s="241">
        <f>IF($E57=0,0,Dangchung!AA57)</f>
        <v>0</v>
      </c>
      <c r="AB57" s="241">
        <f>IF($E57=0,0,Dangchung!AB57)</f>
        <v>0</v>
      </c>
      <c r="AC57" s="241">
        <f>IF($E57=0,0,Dangchung!AC57)</f>
        <v>0</v>
      </c>
      <c r="AD57" s="241" t="str">
        <f>IF($E57=0,0,Dangchung!AD57)</f>
        <v>CN/05/Khá</v>
      </c>
      <c r="AE57" s="241">
        <f>IF($E57=0,0,Dangchung!AE57)</f>
        <v>351360972</v>
      </c>
      <c r="AF57" s="241" t="str">
        <f>IF($E57=0,0,Dangchung!AF57)</f>
        <v>12/07/2010</v>
      </c>
      <c r="AG57" s="241" t="str">
        <f>IF($E57=0,0,Dangchung!AG57)</f>
        <v>01/09/2003</v>
      </c>
      <c r="AH57" s="241" t="str">
        <f>IF($E57=0,0,Dangchung!AH57)</f>
        <v>21/09/2009</v>
      </c>
      <c r="AI57" s="241" t="str">
        <f>IF($E57=0,0,Dangchung!AI57)</f>
        <v>31.040 609</v>
      </c>
      <c r="AJ57" s="241">
        <f>IF($E57=0,0,Dangchung!AJ57)</f>
        <v>2009</v>
      </c>
      <c r="AK57" s="241" t="str">
        <f>IF($E57=0,0,Dangchung!AK57)</f>
        <v>0858593079</v>
      </c>
      <c r="AL57" s="212"/>
    </row>
    <row r="58" spans="1:38" x14ac:dyDescent="0.25">
      <c r="A58" s="220"/>
      <c r="B58" s="128">
        <f>IF(E58=0,0,MAX($B$8:B57)+1)</f>
        <v>25</v>
      </c>
      <c r="C58" s="163">
        <f>Dangchung!C58</f>
        <v>4</v>
      </c>
      <c r="D58" s="162">
        <f>IF(Dangchung!D58&lt;&gt;0,0,0)</f>
        <v>0</v>
      </c>
      <c r="E58" s="162" t="str">
        <f>IF(Dangchung!D58&lt;&gt;0,0,Dangchung!E58)</f>
        <v>Huỳnh Thị Bích Vân</v>
      </c>
      <c r="F58" s="123" t="str">
        <f>IF($E58=0,0,Dangchung!F58)</f>
        <v>x</v>
      </c>
      <c r="G58" s="123">
        <f>IF($E58=0,0,Dangchung!G58)</f>
        <v>0</v>
      </c>
      <c r="H58" s="123" t="str">
        <f>IF($E58=0,0,Dangchung!H58)</f>
        <v>29/06/1966</v>
      </c>
      <c r="I58" s="125">
        <f>IF($E58=0,0,Dangchung!I58)</f>
        <v>0</v>
      </c>
      <c r="J58" s="125">
        <f>IF($E58=0,0,Dangchung!J58)</f>
        <v>1966</v>
      </c>
      <c r="K58" s="123" t="str">
        <f>IF($E58=0,0,Dangchung!K58)</f>
        <v>GV</v>
      </c>
      <c r="L58" s="123">
        <f>IF($E58=0,0,Dangchung!L58)</f>
        <v>0</v>
      </c>
      <c r="M58" s="123" t="str">
        <f>IF($E58=0,0,Dangchung!M58)</f>
        <v>Hòa Hảo</v>
      </c>
      <c r="N58" s="123" t="str">
        <f>IF($E58=0,0,Dangchung!N58)</f>
        <v>Nông dân</v>
      </c>
      <c r="O58" s="123" t="str">
        <f>IF($E58=0,0,Dangchung!O58)</f>
        <v>Long Kiến-An Giang</v>
      </c>
      <c r="P58" s="123" t="str">
        <f>IF($E58=0,0,Dangchung!P58)</f>
        <v>Long Kiến-Chợ Mới</v>
      </c>
      <c r="Q58" s="123" t="str">
        <f>IF($E58=0,0,Dangchung!Q58)</f>
        <v>Vĩnh Hưng-VTT</v>
      </c>
      <c r="R58" s="123" t="str">
        <f>IF($E58=0,0,Dangchung!R58)</f>
        <v>PTTH/85/TB</v>
      </c>
      <c r="S58" s="123" t="str">
        <f>IF($E58=0,0,Dangchung!S58)</f>
        <v>CĐ3/Toán-KTCN/89/TB</v>
      </c>
      <c r="T58" s="123" t="str">
        <f>IF($E58=0,0,Dangchung!T58)</f>
        <v>ĐHTX/Toán/99/TB</v>
      </c>
      <c r="U58" s="123">
        <f>IF($E58=0,0,Dangchung!U58)</f>
        <v>0</v>
      </c>
      <c r="V58" s="123" t="str">
        <f>IF($E58=0,0,Dangchung!V58)</f>
        <v>ĐHTX</v>
      </c>
      <c r="W58" s="241">
        <f>IF($E58=0,0,Dangchung!W58)</f>
        <v>0</v>
      </c>
      <c r="X58" s="241">
        <f>IF($E58=0,0,Dangchung!X58)</f>
        <v>0</v>
      </c>
      <c r="Y58" s="241" t="str">
        <f>IF($E58=0,0,Dangchung!Y58)</f>
        <v>A/08/Khá</v>
      </c>
      <c r="Z58" s="241">
        <f>IF($E58=0,0,Dangchung!Z58)</f>
        <v>0</v>
      </c>
      <c r="AA58" s="241">
        <f>IF($E58=0,0,Dangchung!AA58)</f>
        <v>0</v>
      </c>
      <c r="AB58" s="241">
        <f>IF($E58=0,0,Dangchung!AB58)</f>
        <v>0</v>
      </c>
      <c r="AC58" s="241">
        <f>IF($E58=0,0,Dangchung!AC58)</f>
        <v>0</v>
      </c>
      <c r="AD58" s="241" t="str">
        <f>IF($E58=0,0,Dangchung!AD58)</f>
        <v>CN/10/Khá</v>
      </c>
      <c r="AE58" s="241">
        <f>IF($E58=0,0,Dangchung!AE58)</f>
        <v>351560443</v>
      </c>
      <c r="AF58" s="241" t="str">
        <f>IF($E58=0,0,Dangchung!AF58)</f>
        <v>12/03/2012</v>
      </c>
      <c r="AG58" s="241" t="str">
        <f>IF($E58=0,0,Dangchung!AG58)</f>
        <v>01/09/1988</v>
      </c>
      <c r="AH58" s="241" t="str">
        <f>IF($E58=0,0,Dangchung!AH58)</f>
        <v>07/10/2006</v>
      </c>
      <c r="AI58" s="241" t="str">
        <f>IF($E58=0,0,Dangchung!AI58)</f>
        <v>31.033 978</v>
      </c>
      <c r="AJ58" s="241">
        <f>IF($E58=0,0,Dangchung!AJ58)</f>
        <v>2006</v>
      </c>
      <c r="AK58" s="241" t="str">
        <f>IF($E58=0,0,Dangchung!AK58)</f>
        <v>0358300982</v>
      </c>
      <c r="AL58" s="212"/>
    </row>
    <row r="59" spans="1:38" x14ac:dyDescent="0.25">
      <c r="A59" s="220"/>
      <c r="B59" s="128">
        <f>IF(E59=0,0,MAX($B$8:B58)+1)</f>
        <v>26</v>
      </c>
      <c r="C59" s="163">
        <f>Dangchung!C59</f>
        <v>5</v>
      </c>
      <c r="D59" s="162">
        <f>IF(Dangchung!D59&lt;&gt;0,0,0)</f>
        <v>0</v>
      </c>
      <c r="E59" s="162" t="str">
        <f>IF(Dangchung!D59&lt;&gt;0,0,Dangchung!E59)</f>
        <v>Phạm Minh Hiếu</v>
      </c>
      <c r="F59" s="123">
        <f>IF($E59=0,0,Dangchung!F59)</f>
        <v>0</v>
      </c>
      <c r="G59" s="123" t="str">
        <f>IF($E59=0,0,Dangchung!G59)</f>
        <v>09/02/1979</v>
      </c>
      <c r="H59" s="123">
        <f>IF($E59=0,0,Dangchung!H59)</f>
        <v>0</v>
      </c>
      <c r="I59" s="125">
        <f>IF($E59=0,0,Dangchung!I59)</f>
        <v>1979</v>
      </c>
      <c r="J59" s="125">
        <f>IF($E59=0,0,Dangchung!J59)</f>
        <v>0</v>
      </c>
      <c r="K59" s="123" t="str">
        <f>IF($E59=0,0,Dangchung!K59)</f>
        <v>GV</v>
      </c>
      <c r="L59" s="123">
        <f>IF($E59=0,0,Dangchung!L59)</f>
        <v>0</v>
      </c>
      <c r="M59" s="123" t="str">
        <f>IF($E59=0,0,Dangchung!M59)</f>
        <v>Công giáo</v>
      </c>
      <c r="N59" s="123" t="str">
        <f>IF($E59=0,0,Dangchung!N59)</f>
        <v>Nông dân</v>
      </c>
      <c r="O59" s="123" t="str">
        <f>IF($E59=0,0,Dangchung!O59)</f>
        <v>Bình Long-An Giang</v>
      </c>
      <c r="P59" s="123" t="str">
        <f>IF($E59=0,0,Dangchung!P59)</f>
        <v>Chất Thành-Kim Sơn-Hà Nam Ninh</v>
      </c>
      <c r="Q59" s="123">
        <f>IF($E59=0,0,Dangchung!Q59)</f>
        <v>0</v>
      </c>
      <c r="R59" s="123" t="str">
        <f>IF($E59=0,0,Dangchung!R59)</f>
        <v>PTTH/96/Khá</v>
      </c>
      <c r="S59" s="123" t="str">
        <f>IF($E59=0,0,Dangchung!S59)</f>
        <v>CĐ3/Toán-Tin/99/TB</v>
      </c>
      <c r="T59" s="123" t="str">
        <f>IF($E59=0,0,Dangchung!T59)</f>
        <v>ĐHTX/Toán/08/TBK</v>
      </c>
      <c r="U59" s="123">
        <f>IF($E59=0,0,Dangchung!U59)</f>
        <v>0</v>
      </c>
      <c r="V59" s="123" t="str">
        <f>IF($E59=0,0,Dangchung!V59)</f>
        <v>ĐHTX</v>
      </c>
      <c r="W59" s="241">
        <f>IF($E59=0,0,Dangchung!W59)</f>
        <v>0</v>
      </c>
      <c r="X59" s="241" t="str">
        <f>IF($E59=0,0,Dangchung!X59)</f>
        <v>TC/11</v>
      </c>
      <c r="Y59" s="241" t="str">
        <f>IF($E59=0,0,Dangchung!Y59)</f>
        <v>A/07/Giỏi</v>
      </c>
      <c r="Z59" s="241" t="str">
        <f>IF($E59=0,0,Dangchung!Z59)</f>
        <v>A/Anh/06/TB</v>
      </c>
      <c r="AA59" s="241">
        <f>IF($E59=0,0,Dangchung!AA59)</f>
        <v>0</v>
      </c>
      <c r="AB59" s="241">
        <f>IF($E59=0,0,Dangchung!AB59)</f>
        <v>0</v>
      </c>
      <c r="AC59" s="241">
        <f>IF($E59=0,0,Dangchung!AC59)</f>
        <v>0</v>
      </c>
      <c r="AD59" s="241" t="str">
        <f>IF($E59=0,0,Dangchung!AD59)</f>
        <v>CC/14/Khá</v>
      </c>
      <c r="AE59" s="241">
        <f>IF($E59=0,0,Dangchung!AE59)</f>
        <v>0</v>
      </c>
      <c r="AF59" s="241">
        <f>IF($E59=0,0,Dangchung!AF59)</f>
        <v>0</v>
      </c>
      <c r="AG59" s="241" t="str">
        <f>IF($E59=0,0,Dangchung!AG59)</f>
        <v>01/09/1999</v>
      </c>
      <c r="AH59" s="241" t="str">
        <f>IF($E59=0,0,Dangchung!AH59)</f>
        <v>20/08/2007</v>
      </c>
      <c r="AI59" s="241" t="str">
        <f>IF($E59=0,0,Dangchung!AI59)</f>
        <v>31.036 314</v>
      </c>
      <c r="AJ59" s="241">
        <f>IF($E59=0,0,Dangchung!AJ59)</f>
        <v>2007</v>
      </c>
      <c r="AK59" s="241" t="str">
        <f>IF($E59=0,0,Dangchung!AK59)</f>
        <v>0976992020</v>
      </c>
      <c r="AL59" s="212"/>
    </row>
    <row r="60" spans="1:38" hidden="1" x14ac:dyDescent="0.25">
      <c r="A60" s="220"/>
      <c r="B60" s="128">
        <f>IF(E60=0,0,MAX($B$8:B59)+1)</f>
        <v>0</v>
      </c>
      <c r="C60" s="163">
        <f>Dangchung!C60</f>
        <v>0</v>
      </c>
      <c r="D60" s="162">
        <f>IF(Dangchung!D60&lt;&gt;0,0,0)</f>
        <v>0</v>
      </c>
      <c r="E60" s="162">
        <f>IF(Dangchung!D60&lt;&gt;0,0,Dangchung!E60)</f>
        <v>0</v>
      </c>
      <c r="F60" s="123">
        <f>IF($E60=0,0,Dangchung!F60)</f>
        <v>0</v>
      </c>
      <c r="G60" s="123">
        <f>IF($E60=0,0,Dangchung!G60)</f>
        <v>0</v>
      </c>
      <c r="H60" s="123">
        <f>IF($E60=0,0,Dangchung!H60)</f>
        <v>0</v>
      </c>
      <c r="I60" s="125">
        <f>IF($E60=0,0,Dangchung!I60)</f>
        <v>0</v>
      </c>
      <c r="J60" s="125">
        <f>IF($E60=0,0,Dangchung!J60)</f>
        <v>0</v>
      </c>
      <c r="K60" s="123">
        <f>IF($E60=0,0,Dangchung!K60)</f>
        <v>0</v>
      </c>
      <c r="L60" s="123">
        <f>IF($E60=0,0,Dangchung!L60)</f>
        <v>0</v>
      </c>
      <c r="M60" s="123">
        <f>IF($E60=0,0,Dangchung!M60)</f>
        <v>0</v>
      </c>
      <c r="N60" s="123">
        <f>IF($E60=0,0,Dangchung!N60)</f>
        <v>0</v>
      </c>
      <c r="O60" s="123">
        <f>IF($E60=0,0,Dangchung!O60)</f>
        <v>0</v>
      </c>
      <c r="P60" s="123">
        <f>IF($E60=0,0,Dangchung!P60)</f>
        <v>0</v>
      </c>
      <c r="Q60" s="123">
        <f>IF($E60=0,0,Dangchung!Q60)</f>
        <v>0</v>
      </c>
      <c r="R60" s="123">
        <f>IF($E60=0,0,Dangchung!R60)</f>
        <v>0</v>
      </c>
      <c r="S60" s="123">
        <f>IF($E60=0,0,Dangchung!S60)</f>
        <v>0</v>
      </c>
      <c r="T60" s="123">
        <f>IF($E60=0,0,Dangchung!T60)</f>
        <v>0</v>
      </c>
      <c r="U60" s="123">
        <f>IF($E60=0,0,Dangchung!U60)</f>
        <v>0</v>
      </c>
      <c r="V60" s="123">
        <f>IF($E60=0,0,Dangchung!V60)</f>
        <v>0</v>
      </c>
      <c r="W60" s="241">
        <f>IF($E60=0,0,Dangchung!W60)</f>
        <v>0</v>
      </c>
      <c r="X60" s="241">
        <f>IF($E60=0,0,Dangchung!X60)</f>
        <v>0</v>
      </c>
      <c r="Y60" s="241">
        <f>IF($E60=0,0,Dangchung!Y60)</f>
        <v>0</v>
      </c>
      <c r="Z60" s="241">
        <f>IF($E60=0,0,Dangchung!Z60)</f>
        <v>0</v>
      </c>
      <c r="AA60" s="241">
        <f>IF($E60=0,0,Dangchung!AA60)</f>
        <v>0</v>
      </c>
      <c r="AB60" s="241">
        <f>IF($E60=0,0,Dangchung!AB60)</f>
        <v>0</v>
      </c>
      <c r="AC60" s="241">
        <f>IF($E60=0,0,Dangchung!AC60)</f>
        <v>0</v>
      </c>
      <c r="AD60" s="241">
        <f>IF($E60=0,0,Dangchung!AD60)</f>
        <v>0</v>
      </c>
      <c r="AE60" s="241">
        <f>IF($E60=0,0,Dangchung!AE60)</f>
        <v>0</v>
      </c>
      <c r="AF60" s="241">
        <f>IF($E60=0,0,Dangchung!AF60)</f>
        <v>0</v>
      </c>
      <c r="AG60" s="241">
        <f>IF($E60=0,0,Dangchung!AG60)</f>
        <v>0</v>
      </c>
      <c r="AH60" s="241">
        <f>IF($E60=0,0,Dangchung!AH60)</f>
        <v>0</v>
      </c>
      <c r="AI60" s="241">
        <f>IF($E60=0,0,Dangchung!AI60)</f>
        <v>0</v>
      </c>
      <c r="AJ60" s="241">
        <f>IF($E60=0,0,Dangchung!AJ60)</f>
        <v>0</v>
      </c>
      <c r="AK60" s="241">
        <f>IF($E60=0,0,Dangchung!AK60)</f>
        <v>0</v>
      </c>
      <c r="AL60" s="212"/>
    </row>
    <row r="61" spans="1:38" hidden="1" x14ac:dyDescent="0.25">
      <c r="A61" s="220"/>
      <c r="B61" s="128">
        <f>IF(E61=0,0,MAX($B$8:B60)+1)</f>
        <v>0</v>
      </c>
      <c r="C61" s="163">
        <f>Dangchung!C61</f>
        <v>0</v>
      </c>
      <c r="D61" s="162">
        <f>IF(Dangchung!D61&lt;&gt;0,0,0)</f>
        <v>0</v>
      </c>
      <c r="E61" s="162">
        <f>IF(Dangchung!D61&lt;&gt;0,0,Dangchung!E61)</f>
        <v>0</v>
      </c>
      <c r="F61" s="123">
        <f>IF($E61=0,0,Dangchung!F61)</f>
        <v>0</v>
      </c>
      <c r="G61" s="123">
        <f>IF($E61=0,0,Dangchung!G61)</f>
        <v>0</v>
      </c>
      <c r="H61" s="123">
        <f>IF($E61=0,0,Dangchung!H61)</f>
        <v>0</v>
      </c>
      <c r="I61" s="125">
        <f>IF($E61=0,0,Dangchung!I61)</f>
        <v>0</v>
      </c>
      <c r="J61" s="125">
        <f>IF($E61=0,0,Dangchung!J61)</f>
        <v>0</v>
      </c>
      <c r="K61" s="123">
        <f>IF($E61=0,0,Dangchung!K61)</f>
        <v>0</v>
      </c>
      <c r="L61" s="123">
        <f>IF($E61=0,0,Dangchung!L61)</f>
        <v>0</v>
      </c>
      <c r="M61" s="123">
        <f>IF($E61=0,0,Dangchung!M61)</f>
        <v>0</v>
      </c>
      <c r="N61" s="123">
        <f>IF($E61=0,0,Dangchung!N61)</f>
        <v>0</v>
      </c>
      <c r="O61" s="123">
        <f>IF($E61=0,0,Dangchung!O61)</f>
        <v>0</v>
      </c>
      <c r="P61" s="123">
        <f>IF($E61=0,0,Dangchung!P61)</f>
        <v>0</v>
      </c>
      <c r="Q61" s="123">
        <f>IF($E61=0,0,Dangchung!Q61)</f>
        <v>0</v>
      </c>
      <c r="R61" s="123">
        <f>IF($E61=0,0,Dangchung!R61)</f>
        <v>0</v>
      </c>
      <c r="S61" s="123">
        <f>IF($E61=0,0,Dangchung!S61)</f>
        <v>0</v>
      </c>
      <c r="T61" s="123">
        <f>IF($E61=0,0,Dangchung!T61)</f>
        <v>0</v>
      </c>
      <c r="U61" s="123">
        <f>IF($E61=0,0,Dangchung!U61)</f>
        <v>0</v>
      </c>
      <c r="V61" s="123">
        <f>IF($E61=0,0,Dangchung!V61)</f>
        <v>0</v>
      </c>
      <c r="W61" s="241">
        <f>IF($E61=0,0,Dangchung!W61)</f>
        <v>0</v>
      </c>
      <c r="X61" s="241">
        <f>IF($E61=0,0,Dangchung!X61)</f>
        <v>0</v>
      </c>
      <c r="Y61" s="241">
        <f>IF($E61=0,0,Dangchung!Y61)</f>
        <v>0</v>
      </c>
      <c r="Z61" s="241">
        <f>IF($E61=0,0,Dangchung!Z61)</f>
        <v>0</v>
      </c>
      <c r="AA61" s="241">
        <f>IF($E61=0,0,Dangchung!AA61)</f>
        <v>0</v>
      </c>
      <c r="AB61" s="241">
        <f>IF($E61=0,0,Dangchung!AB61)</f>
        <v>0</v>
      </c>
      <c r="AC61" s="241">
        <f>IF($E61=0,0,Dangchung!AC61)</f>
        <v>0</v>
      </c>
      <c r="AD61" s="241">
        <f>IF($E61=0,0,Dangchung!AD61)</f>
        <v>0</v>
      </c>
      <c r="AE61" s="241">
        <f>IF($E61=0,0,Dangchung!AE61)</f>
        <v>0</v>
      </c>
      <c r="AF61" s="241">
        <f>IF($E61=0,0,Dangchung!AF61)</f>
        <v>0</v>
      </c>
      <c r="AG61" s="241">
        <f>IF($E61=0,0,Dangchung!AG61)</f>
        <v>0</v>
      </c>
      <c r="AH61" s="241">
        <f>IF($E61=0,0,Dangchung!AH61)</f>
        <v>0</v>
      </c>
      <c r="AI61" s="241">
        <f>IF($E61=0,0,Dangchung!AI61)</f>
        <v>0</v>
      </c>
      <c r="AJ61" s="241">
        <f>IF($E61=0,0,Dangchung!AJ61)</f>
        <v>0</v>
      </c>
      <c r="AK61" s="241">
        <f>IF($E61=0,0,Dangchung!AK61)</f>
        <v>0</v>
      </c>
      <c r="AL61" s="212"/>
    </row>
    <row r="62" spans="1:38" x14ac:dyDescent="0.25">
      <c r="A62" s="220"/>
      <c r="B62" s="128">
        <f>IF(E62=0,0,MAX($B$8:B61)+1)</f>
        <v>27</v>
      </c>
      <c r="C62" s="163">
        <f>Dangchung!C62</f>
        <v>6</v>
      </c>
      <c r="D62" s="162">
        <f>IF(Dangchung!D62&lt;&gt;0,0,0)</f>
        <v>0</v>
      </c>
      <c r="E62" s="162" t="str">
        <f>IF(Dangchung!D62&lt;&gt;0,0,Dangchung!E62)</f>
        <v>Trần Thị Ngọc Hiền</v>
      </c>
      <c r="F62" s="123" t="str">
        <f>IF($E62=0,0,Dangchung!F62)</f>
        <v>x</v>
      </c>
      <c r="G62" s="123">
        <f>IF($E62=0,0,Dangchung!G62)</f>
        <v>0</v>
      </c>
      <c r="H62" s="123" t="str">
        <f>IF($E62=0,0,Dangchung!H62)</f>
        <v>16/07/1989</v>
      </c>
      <c r="I62" s="125">
        <f>IF($E62=0,0,Dangchung!I62)</f>
        <v>0</v>
      </c>
      <c r="J62" s="125">
        <f>IF($E62=0,0,Dangchung!J62)</f>
        <v>1989</v>
      </c>
      <c r="K62" s="123" t="str">
        <f>IF($E62=0,0,Dangchung!K62)</f>
        <v>GV</v>
      </c>
      <c r="L62" s="123">
        <f>IF($E62=0,0,Dangchung!L62)</f>
        <v>0</v>
      </c>
      <c r="M62" s="123" t="str">
        <f>IF($E62=0,0,Dangchung!M62)</f>
        <v>x</v>
      </c>
      <c r="N62" s="123" t="str">
        <f>IF($E62=0,0,Dangchung!N62)</f>
        <v>Nông dân</v>
      </c>
      <c r="O62" s="123" t="str">
        <f>IF($E62=0,0,Dangchung!O62)</f>
        <v>An Giang</v>
      </c>
      <c r="P62" s="123" t="str">
        <f>IF($E62=0,0,Dangchung!P62)</f>
        <v>Vĩnh Thạnh Trung-Châu Phú</v>
      </c>
      <c r="Q62" s="123" t="str">
        <f>IF($E62=0,0,Dangchung!Q62)</f>
        <v>Bình Lợi-Bình Chánh</v>
      </c>
      <c r="R62" s="123" t="str">
        <f>IF($E62=0,0,Dangchung!R62)</f>
        <v>PTTH/07/TB</v>
      </c>
      <c r="S62" s="123" t="str">
        <f>IF($E62=0,0,Dangchung!S62)</f>
        <v>ĐHCQ/Tin/12/Khá</v>
      </c>
      <c r="T62" s="123">
        <f>IF($E62=0,0,Dangchung!T62)</f>
        <v>0</v>
      </c>
      <c r="U62" s="123">
        <f>IF($E62=0,0,Dangchung!U62)</f>
        <v>0</v>
      </c>
      <c r="V62" s="123" t="str">
        <f>IF($E62=0,0,Dangchung!V62)</f>
        <v>ĐHCQ</v>
      </c>
      <c r="W62" s="241">
        <f>IF($E62=0,0,Dangchung!W62)</f>
        <v>0</v>
      </c>
      <c r="X62" s="241">
        <f>IF($E62=0,0,Dangchung!X62)</f>
        <v>0</v>
      </c>
      <c r="Y62" s="241">
        <f>IF($E62=0,0,Dangchung!Y62)</f>
        <v>0</v>
      </c>
      <c r="Z62" s="241" t="str">
        <f>IF($E62=0,0,Dangchung!Z62)</f>
        <v>B/Anh/11/TB</v>
      </c>
      <c r="AA62" s="241">
        <f>IF($E62=0,0,Dangchung!AA62)</f>
        <v>0</v>
      </c>
      <c r="AB62" s="241">
        <f>IF($E62=0,0,Dangchung!AB62)</f>
        <v>0</v>
      </c>
      <c r="AC62" s="241">
        <f>IF($E62=0,0,Dangchung!AC62)</f>
        <v>0</v>
      </c>
      <c r="AD62" s="241" t="str">
        <f>IF($E62=0,0,Dangchung!AD62)</f>
        <v>CN/15/Khá</v>
      </c>
      <c r="AE62" s="241">
        <f>IF($E62=0,0,Dangchung!AE62)</f>
        <v>351853836</v>
      </c>
      <c r="AF62" s="241" t="str">
        <f>IF($E62=0,0,Dangchung!AF62)</f>
        <v>10/08/2004</v>
      </c>
      <c r="AG62" s="241" t="str">
        <f>IF($E62=0,0,Dangchung!AG62)</f>
        <v>01/09/2012</v>
      </c>
      <c r="AH62" s="241" t="str">
        <f>IF($E62=0,0,Dangchung!AH62)</f>
        <v>24/01/2015</v>
      </c>
      <c r="AI62" s="241" t="str">
        <f>IF($E62=0,0,Dangchung!AI62)</f>
        <v>Chưa thẻ</v>
      </c>
      <c r="AJ62" s="241">
        <f>IF($E62=0,0,Dangchung!AJ62)</f>
        <v>2015</v>
      </c>
      <c r="AK62" s="241" t="str">
        <f>IF($E62=0,0,Dangchung!AK62)</f>
        <v>0974827911</v>
      </c>
      <c r="AL62" s="212"/>
    </row>
    <row r="63" spans="1:38" hidden="1" x14ac:dyDescent="0.25">
      <c r="A63" s="220"/>
      <c r="B63" s="128">
        <f>IF(E63=0,0,MAX($B$8:B62)+1)</f>
        <v>0</v>
      </c>
      <c r="C63" s="163">
        <f>Dangchung!C63</f>
        <v>7</v>
      </c>
      <c r="D63" s="162">
        <f>IF(Dangchung!D63&lt;&gt;0,0,0)</f>
        <v>0</v>
      </c>
      <c r="E63" s="162">
        <f>IF(Dangchung!D63&lt;&gt;0,0,Dangchung!E63)</f>
        <v>0</v>
      </c>
      <c r="F63" s="123">
        <f>IF($E63=0,0,Dangchung!F63)</f>
        <v>0</v>
      </c>
      <c r="G63" s="123">
        <f>IF($E63=0,0,Dangchung!G63)</f>
        <v>0</v>
      </c>
      <c r="H63" s="123">
        <f>IF($E63=0,0,Dangchung!H63)</f>
        <v>0</v>
      </c>
      <c r="I63" s="125">
        <f>IF($E63=0,0,Dangchung!I63)</f>
        <v>0</v>
      </c>
      <c r="J63" s="125">
        <f>IF($E63=0,0,Dangchung!J63)</f>
        <v>0</v>
      </c>
      <c r="K63" s="123">
        <f>IF($E63=0,0,Dangchung!K63)</f>
        <v>0</v>
      </c>
      <c r="L63" s="123">
        <f>IF($E63=0,0,Dangchung!L63)</f>
        <v>0</v>
      </c>
      <c r="M63" s="123">
        <f>IF($E63=0,0,Dangchung!M63)</f>
        <v>0</v>
      </c>
      <c r="N63" s="123">
        <f>IF($E63=0,0,Dangchung!N63)</f>
        <v>0</v>
      </c>
      <c r="O63" s="123">
        <f>IF($E63=0,0,Dangchung!O63)</f>
        <v>0</v>
      </c>
      <c r="P63" s="123">
        <f>IF($E63=0,0,Dangchung!P63)</f>
        <v>0</v>
      </c>
      <c r="Q63" s="123">
        <f>IF($E63=0,0,Dangchung!Q63)</f>
        <v>0</v>
      </c>
      <c r="R63" s="123">
        <f>IF($E63=0,0,Dangchung!R63)</f>
        <v>0</v>
      </c>
      <c r="S63" s="123">
        <f>IF($E63=0,0,Dangchung!S63)</f>
        <v>0</v>
      </c>
      <c r="T63" s="123">
        <f>IF($E63=0,0,Dangchung!T63)</f>
        <v>0</v>
      </c>
      <c r="U63" s="123">
        <f>IF($E63=0,0,Dangchung!U63)</f>
        <v>0</v>
      </c>
      <c r="V63" s="123">
        <f>IF($E63=0,0,Dangchung!V63)</f>
        <v>0</v>
      </c>
      <c r="W63" s="241">
        <f>IF($E63=0,0,Dangchung!W63)</f>
        <v>0</v>
      </c>
      <c r="X63" s="241">
        <f>IF($E63=0,0,Dangchung!X63)</f>
        <v>0</v>
      </c>
      <c r="Y63" s="241">
        <f>IF($E63=0,0,Dangchung!Y63)</f>
        <v>0</v>
      </c>
      <c r="Z63" s="241">
        <f>IF($E63=0,0,Dangchung!Z63)</f>
        <v>0</v>
      </c>
      <c r="AA63" s="241">
        <f>IF($E63=0,0,Dangchung!AA63)</f>
        <v>0</v>
      </c>
      <c r="AB63" s="241">
        <f>IF($E63=0,0,Dangchung!AB63)</f>
        <v>0</v>
      </c>
      <c r="AC63" s="241">
        <f>IF($E63=0,0,Dangchung!AC63)</f>
        <v>0</v>
      </c>
      <c r="AD63" s="241">
        <f>IF($E63=0,0,Dangchung!AD63)</f>
        <v>0</v>
      </c>
      <c r="AE63" s="241">
        <f>IF($E63=0,0,Dangchung!AE63)</f>
        <v>0</v>
      </c>
      <c r="AF63" s="241">
        <f>IF($E63=0,0,Dangchung!AF63)</f>
        <v>0</v>
      </c>
      <c r="AG63" s="241">
        <f>IF($E63=0,0,Dangchung!AG63)</f>
        <v>0</v>
      </c>
      <c r="AH63" s="241">
        <f>IF($E63=0,0,Dangchung!AH63)</f>
        <v>0</v>
      </c>
      <c r="AI63" s="241">
        <f>IF($E63=0,0,Dangchung!AI63)</f>
        <v>0</v>
      </c>
      <c r="AJ63" s="241">
        <f>IF($E63=0,0,Dangchung!AJ63)</f>
        <v>0</v>
      </c>
      <c r="AK63" s="241">
        <f>IF($E63=0,0,Dangchung!AK63)</f>
        <v>0</v>
      </c>
      <c r="AL63" s="212"/>
    </row>
    <row r="64" spans="1:38" x14ac:dyDescent="0.25">
      <c r="A64" s="220"/>
      <c r="B64" s="128">
        <f>IF(E64=0,0,MAX($B$8:B63)+1)</f>
        <v>28</v>
      </c>
      <c r="C64" s="163">
        <f>Dangchung!C64</f>
        <v>8</v>
      </c>
      <c r="D64" s="162">
        <f>IF(Dangchung!D64&lt;&gt;0,0,0)</f>
        <v>0</v>
      </c>
      <c r="E64" s="162" t="str">
        <f>IF(Dangchung!D64&lt;&gt;0,0,Dangchung!E64)</f>
        <v>Lê Văn Thân</v>
      </c>
      <c r="F64" s="123">
        <f>IF($E64=0,0,Dangchung!F64)</f>
        <v>0</v>
      </c>
      <c r="G64" s="123" t="str">
        <f>IF($E64=0,0,Dangchung!G64)</f>
        <v>18/11/1991</v>
      </c>
      <c r="H64" s="123">
        <f>IF($E64=0,0,Dangchung!H64)</f>
        <v>0</v>
      </c>
      <c r="I64" s="125">
        <f>IF($E64=0,0,Dangchung!I64)</f>
        <v>1991</v>
      </c>
      <c r="J64" s="125">
        <f>IF($E64=0,0,Dangchung!J64)</f>
        <v>0</v>
      </c>
      <c r="K64" s="123" t="str">
        <f>IF($E64=0,0,Dangchung!K64)</f>
        <v>GV</v>
      </c>
      <c r="L64" s="123">
        <f>IF($E64=0,0,Dangchung!L64)</f>
        <v>0</v>
      </c>
      <c r="M64" s="123" t="str">
        <f>IF($E64=0,0,Dangchung!M64)</f>
        <v>Hòa Hảo</v>
      </c>
      <c r="N64" s="123" t="str">
        <f>IF($E64=0,0,Dangchung!N64)</f>
        <v>Nông dân</v>
      </c>
      <c r="O64" s="123" t="str">
        <f>IF($E64=0,0,Dangchung!O64)</f>
        <v>Bình Phú-AG</v>
      </c>
      <c r="P64" s="123" t="str">
        <f>IF($E64=0,0,Dangchung!P64)</f>
        <v>Bình Chánh-Châu Phú</v>
      </c>
      <c r="Q64" s="123" t="str">
        <f>IF($E64=0,0,Dangchung!Q64)</f>
        <v>Bình Lợi-Bình Chánh</v>
      </c>
      <c r="R64" s="123" t="str">
        <f>IF($E64=0,0,Dangchung!R64)</f>
        <v>PTTH/09/TB</v>
      </c>
      <c r="S64" s="123" t="str">
        <f>IF($E64=0,0,Dangchung!S64)</f>
        <v>CĐ3/Tin/13/TB</v>
      </c>
      <c r="T64" s="123" t="str">
        <f>IF($E64=0,0,Dangchung!T64)</f>
        <v>ĐHTC</v>
      </c>
      <c r="U64" s="123">
        <f>IF($E64=0,0,Dangchung!U64)</f>
        <v>0</v>
      </c>
      <c r="V64" s="123" t="str">
        <f>IF($E64=0,0,Dangchung!V64)</f>
        <v>ĐHTC</v>
      </c>
      <c r="W64" s="241">
        <f>IF($E64=0,0,Dangchung!W64)</f>
        <v>0</v>
      </c>
      <c r="X64" s="241">
        <f>IF($E64=0,0,Dangchung!X64)</f>
        <v>0</v>
      </c>
      <c r="Y64" s="241">
        <f>IF($E64=0,0,Dangchung!Y64)</f>
        <v>0</v>
      </c>
      <c r="Z64" s="241" t="str">
        <f>IF($E64=0,0,Dangchung!Z64)</f>
        <v>B/Anh/14/TB</v>
      </c>
      <c r="AA64" s="241">
        <f>IF($E64=0,0,Dangchung!AA64)</f>
        <v>0</v>
      </c>
      <c r="AB64" s="241">
        <f>IF($E64=0,0,Dangchung!AB64)</f>
        <v>0</v>
      </c>
      <c r="AC64" s="241">
        <f>IF($E64=0,0,Dangchung!AC64)</f>
        <v>0</v>
      </c>
      <c r="AD64" s="241">
        <f>IF($E64=0,0,Dangchung!AD64)</f>
        <v>0</v>
      </c>
      <c r="AE64" s="241">
        <f>IF($E64=0,0,Dangchung!AE64)</f>
        <v>351995826</v>
      </c>
      <c r="AF64" s="241" t="str">
        <f>IF($E64=0,0,Dangchung!AF64)</f>
        <v>15/10/2012</v>
      </c>
      <c r="AG64" s="241" t="str">
        <f>IF($E64=0,0,Dangchung!AG64)</f>
        <v>01/09/2013</v>
      </c>
      <c r="AH64" s="241" t="str">
        <f>IF($E64=0,0,Dangchung!AH64)</f>
        <v>23/02/2019</v>
      </c>
      <c r="AI64" s="241" t="str">
        <f>IF($E64=0,0,Dangchung!AI64)</f>
        <v>Chưa thẻ</v>
      </c>
      <c r="AJ64" s="241">
        <f>IF($E64=0,0,Dangchung!AJ64)</f>
        <v>2019</v>
      </c>
      <c r="AK64" s="241" t="str">
        <f>IF($E64=0,0,Dangchung!AK64)</f>
        <v>0367919303</v>
      </c>
      <c r="AL64" s="212"/>
    </row>
    <row r="65" spans="1:38" hidden="1" x14ac:dyDescent="0.25">
      <c r="A65" s="220"/>
      <c r="B65" s="128">
        <f>IF(E65=0,0,MAX($B$8:B64)+1)</f>
        <v>0</v>
      </c>
      <c r="C65" s="163">
        <f>Dangchung!C65</f>
        <v>0</v>
      </c>
      <c r="D65" s="162">
        <f>IF(Dangchung!D65&lt;&gt;0,0,0)</f>
        <v>0</v>
      </c>
      <c r="E65" s="162">
        <f>IF(Dangchung!D65&lt;&gt;0,0,Dangchung!E65)</f>
        <v>0</v>
      </c>
      <c r="F65" s="123">
        <f>IF($E65=0,0,Dangchung!F65)</f>
        <v>0</v>
      </c>
      <c r="G65" s="123">
        <f>IF($E65=0,0,Dangchung!G65)</f>
        <v>0</v>
      </c>
      <c r="H65" s="123">
        <f>IF($E65=0,0,Dangchung!H65)</f>
        <v>0</v>
      </c>
      <c r="I65" s="125">
        <f>IF($E65=0,0,Dangchung!I65)</f>
        <v>0</v>
      </c>
      <c r="J65" s="125">
        <f>IF($E65=0,0,Dangchung!J65)</f>
        <v>0</v>
      </c>
      <c r="K65" s="123">
        <f>IF($E65=0,0,Dangchung!K65)</f>
        <v>0</v>
      </c>
      <c r="L65" s="123">
        <f>IF($E65=0,0,Dangchung!L65)</f>
        <v>0</v>
      </c>
      <c r="M65" s="123">
        <f>IF($E65=0,0,Dangchung!M65)</f>
        <v>0</v>
      </c>
      <c r="N65" s="123">
        <f>IF($E65=0,0,Dangchung!N65)</f>
        <v>0</v>
      </c>
      <c r="O65" s="123">
        <f>IF($E65=0,0,Dangchung!O65)</f>
        <v>0</v>
      </c>
      <c r="P65" s="123">
        <f>IF($E65=0,0,Dangchung!P65)</f>
        <v>0</v>
      </c>
      <c r="Q65" s="123">
        <f>IF($E65=0,0,Dangchung!Q65)</f>
        <v>0</v>
      </c>
      <c r="R65" s="123">
        <f>IF($E65=0,0,Dangchung!R65)</f>
        <v>0</v>
      </c>
      <c r="S65" s="123">
        <f>IF($E65=0,0,Dangchung!S65)</f>
        <v>0</v>
      </c>
      <c r="T65" s="123">
        <f>IF($E65=0,0,Dangchung!T65)</f>
        <v>0</v>
      </c>
      <c r="U65" s="123">
        <f>IF($E65=0,0,Dangchung!U65)</f>
        <v>0</v>
      </c>
      <c r="V65" s="123">
        <f>IF($E65=0,0,Dangchung!V65)</f>
        <v>0</v>
      </c>
      <c r="W65" s="241">
        <f>IF($E65=0,0,Dangchung!W65)</f>
        <v>0</v>
      </c>
      <c r="X65" s="241">
        <f>IF($E65=0,0,Dangchung!X65)</f>
        <v>0</v>
      </c>
      <c r="Y65" s="241">
        <f>IF($E65=0,0,Dangchung!Y65)</f>
        <v>0</v>
      </c>
      <c r="Z65" s="241">
        <f>IF($E65=0,0,Dangchung!Z65)</f>
        <v>0</v>
      </c>
      <c r="AA65" s="241">
        <f>IF($E65=0,0,Dangchung!AA65)</f>
        <v>0</v>
      </c>
      <c r="AB65" s="241">
        <f>IF($E65=0,0,Dangchung!AB65)</f>
        <v>0</v>
      </c>
      <c r="AC65" s="241">
        <f>IF($E65=0,0,Dangchung!AC65)</f>
        <v>0</v>
      </c>
      <c r="AD65" s="241">
        <f>IF($E65=0,0,Dangchung!AD65)</f>
        <v>0</v>
      </c>
      <c r="AE65" s="241">
        <f>IF($E65=0,0,Dangchung!AE65)</f>
        <v>0</v>
      </c>
      <c r="AF65" s="241">
        <f>IF($E65=0,0,Dangchung!AF65)</f>
        <v>0</v>
      </c>
      <c r="AG65" s="241">
        <f>IF($E65=0,0,Dangchung!AG65)</f>
        <v>0</v>
      </c>
      <c r="AH65" s="241">
        <f>IF($E65=0,0,Dangchung!AH65)</f>
        <v>0</v>
      </c>
      <c r="AI65" s="241">
        <f>IF($E65=0,0,Dangchung!AI65)</f>
        <v>0</v>
      </c>
      <c r="AJ65" s="241">
        <f>IF($E65=0,0,Dangchung!AJ65)</f>
        <v>0</v>
      </c>
      <c r="AK65" s="241">
        <f>IF($E65=0,0,Dangchung!AK65)</f>
        <v>0</v>
      </c>
      <c r="AL65" s="212"/>
    </row>
    <row r="66" spans="1:38" hidden="1" x14ac:dyDescent="0.25">
      <c r="A66" s="220"/>
      <c r="B66" s="128">
        <f>IF(E66=0,0,MAX($B$8:B65)+1)</f>
        <v>0</v>
      </c>
      <c r="C66" s="174">
        <f>Dangchung!C66</f>
        <v>9</v>
      </c>
      <c r="D66" s="162">
        <f>IF(Dangchung!D66&lt;&gt;0,0,0)</f>
        <v>0</v>
      </c>
      <c r="E66" s="173">
        <f>IF(Dangchung!D66&lt;&gt;0,0,Dangchung!E66)</f>
        <v>0</v>
      </c>
      <c r="F66" s="145">
        <f>IF($E66=0,0,Dangchung!F66)</f>
        <v>0</v>
      </c>
      <c r="G66" s="145">
        <f>IF($E66=0,0,Dangchung!G66)</f>
        <v>0</v>
      </c>
      <c r="H66" s="145">
        <f>IF($E66=0,0,Dangchung!H66)</f>
        <v>0</v>
      </c>
      <c r="I66" s="147">
        <f>IF($E66=0,0,Dangchung!I66)</f>
        <v>0</v>
      </c>
      <c r="J66" s="147">
        <f>IF($E66=0,0,Dangchung!J66)</f>
        <v>0</v>
      </c>
      <c r="K66" s="145">
        <f>IF($E66=0,0,Dangchung!K66)</f>
        <v>0</v>
      </c>
      <c r="L66" s="145">
        <f>IF($E66=0,0,Dangchung!L66)</f>
        <v>0</v>
      </c>
      <c r="M66" s="145">
        <f>IF($E66=0,0,Dangchung!M66)</f>
        <v>0</v>
      </c>
      <c r="N66" s="145">
        <f>IF($E66=0,0,Dangchung!N66)</f>
        <v>0</v>
      </c>
      <c r="O66" s="145">
        <f>IF($E66=0,0,Dangchung!O66)</f>
        <v>0</v>
      </c>
      <c r="P66" s="145">
        <f>IF($E66=0,0,Dangchung!P66)</f>
        <v>0</v>
      </c>
      <c r="Q66" s="145">
        <f>IF($E66=0,0,Dangchung!Q66)</f>
        <v>0</v>
      </c>
      <c r="R66" s="145">
        <f>IF($E66=0,0,Dangchung!R66)</f>
        <v>0</v>
      </c>
      <c r="S66" s="145">
        <f>IF($E66=0,0,Dangchung!S66)</f>
        <v>0</v>
      </c>
      <c r="T66" s="145">
        <f>IF($E66=0,0,Dangchung!T66)</f>
        <v>0</v>
      </c>
      <c r="U66" s="145">
        <f>IF($E66=0,0,Dangchung!U66)</f>
        <v>0</v>
      </c>
      <c r="V66" s="145">
        <f>IF($E66=0,0,Dangchung!V66)</f>
        <v>0</v>
      </c>
      <c r="W66" s="242">
        <f>IF($E66=0,0,Dangchung!W66)</f>
        <v>0</v>
      </c>
      <c r="X66" s="242">
        <f>IF($E66=0,0,Dangchung!X66)</f>
        <v>0</v>
      </c>
      <c r="Y66" s="242">
        <f>IF($E66=0,0,Dangchung!Y66)</f>
        <v>0</v>
      </c>
      <c r="Z66" s="242">
        <f>IF($E66=0,0,Dangchung!Z66)</f>
        <v>0</v>
      </c>
      <c r="AA66" s="242">
        <f>IF($E66=0,0,Dangchung!AA66)</f>
        <v>0</v>
      </c>
      <c r="AB66" s="242">
        <f>IF($E66=0,0,Dangchung!AB66)</f>
        <v>0</v>
      </c>
      <c r="AC66" s="242">
        <f>IF($E66=0,0,Dangchung!AC66)</f>
        <v>0</v>
      </c>
      <c r="AD66" s="242">
        <f>IF($E66=0,0,Dangchung!AD66)</f>
        <v>0</v>
      </c>
      <c r="AE66" s="242">
        <f>IF($E66=0,0,Dangchung!AE66)</f>
        <v>0</v>
      </c>
      <c r="AF66" s="242">
        <f>IF($E66=0,0,Dangchung!AF66)</f>
        <v>0</v>
      </c>
      <c r="AG66" s="242">
        <f>IF($E66=0,0,Dangchung!AG66)</f>
        <v>0</v>
      </c>
      <c r="AH66" s="242">
        <f>IF($E66=0,0,Dangchung!AH66)</f>
        <v>0</v>
      </c>
      <c r="AI66" s="242">
        <f>IF($E66=0,0,Dangchung!AI66)</f>
        <v>0</v>
      </c>
      <c r="AJ66" s="242">
        <f>IF($E66=0,0,Dangchung!AJ66)</f>
        <v>0</v>
      </c>
      <c r="AK66" s="242">
        <f>IF($E66=0,0,Dangchung!AK66)</f>
        <v>0</v>
      </c>
      <c r="AL66" s="212"/>
    </row>
    <row r="67" spans="1:38" s="118" customFormat="1" ht="16.5" customHeight="1" x14ac:dyDescent="0.25">
      <c r="A67" s="220"/>
      <c r="B67" s="128">
        <f>IF(E67=0,0,MAX($B$8:B66)+1)</f>
        <v>29</v>
      </c>
      <c r="C67" s="182">
        <f>Dangchung!C67</f>
        <v>1</v>
      </c>
      <c r="D67" s="162">
        <f>IF(Dangchung!D67&lt;&gt;0,0,0)</f>
        <v>0</v>
      </c>
      <c r="E67" s="122" t="str">
        <f>IF(Dangchung!D67&lt;&gt;0,0,Dangchung!E67)</f>
        <v>Châu Trần Tân Quốc</v>
      </c>
      <c r="F67" s="123">
        <f>IF($E67=0,0,Dangchung!F67)</f>
        <v>0</v>
      </c>
      <c r="G67" s="123" t="str">
        <f>IF($E67=0,0,Dangchung!G67)</f>
        <v>19/05/1981</v>
      </c>
      <c r="H67" s="123">
        <f>IF($E67=0,0,Dangchung!H67)</f>
        <v>0</v>
      </c>
      <c r="I67" s="185">
        <f>IF($E67=0,0,Dangchung!I67)</f>
        <v>1981</v>
      </c>
      <c r="J67" s="185">
        <f>IF($E67=0,0,Dangchung!J67)</f>
        <v>0</v>
      </c>
      <c r="K67" s="123" t="str">
        <f>IF($E67=0,0,Dangchung!K67)</f>
        <v>GV</v>
      </c>
      <c r="L67" s="123">
        <f>IF($E67=0,0,Dangchung!L67)</f>
        <v>0</v>
      </c>
      <c r="M67" s="123" t="str">
        <f>IF($E67=0,0,Dangchung!M67)</f>
        <v>Hiếu Nghĩa</v>
      </c>
      <c r="N67" s="123" t="str">
        <f>IF($E67=0,0,Dangchung!N67)</f>
        <v>Trí thức</v>
      </c>
      <c r="O67" s="123" t="str">
        <f>IF($E67=0,0,Dangchung!O67)</f>
        <v>Cái Dầu-AG</v>
      </c>
      <c r="P67" s="123" t="str">
        <f>IF($E67=0,0,Dangchung!P67)</f>
        <v>Cái Dầu-Châu Phú</v>
      </c>
      <c r="Q67" s="123" t="str">
        <f>IF($E67=0,0,Dangchung!Q67)</f>
        <v>704 Vĩnh Thành-Cái Dầu</v>
      </c>
      <c r="R67" s="123" t="str">
        <f>IF($E67=0,0,Dangchung!R67)</f>
        <v>PTTH/99/Khá</v>
      </c>
      <c r="S67" s="123" t="str">
        <f>IF($E67=0,0,Dangchung!S67)</f>
        <v>CĐ3/Hóa-Sinh/04/Khá</v>
      </c>
      <c r="T67" s="123" t="str">
        <f>IF($E67=0,0,Dangchung!T67)</f>
        <v>ĐHTX/Hóa/08/Khá</v>
      </c>
      <c r="U67" s="123" t="str">
        <f>IF($E67=0,0,Dangchung!U67)</f>
        <v>ThsCQ/Hóa/14/Giỏi</v>
      </c>
      <c r="V67" s="123" t="str">
        <f>IF($E67=0,0,Dangchung!V67)</f>
        <v>ThsC</v>
      </c>
      <c r="W67" s="241" t="str">
        <f>IF($E67=0,0,Dangchung!W67)</f>
        <v>QLGD/15/Khá</v>
      </c>
      <c r="X67" s="241" t="str">
        <f>IF($E67=0,0,Dangchung!X67)</f>
        <v>SC/15</v>
      </c>
      <c r="Y67" s="241" t="str">
        <f>IF($E67=0,0,Dangchung!Y67)</f>
        <v>A/07/Khá</v>
      </c>
      <c r="Z67" s="241" t="str">
        <f>IF($E67=0,0,Dangchung!Z67)</f>
        <v>B1/Anh/14</v>
      </c>
      <c r="AA67" s="241" t="str">
        <f>IF($E67=0,0,Dangchung!AA67)</f>
        <v>B/Anh/09/TB</v>
      </c>
      <c r="AB67" s="241">
        <f>IF($E67=0,0,Dangchung!AB67)</f>
        <v>0</v>
      </c>
      <c r="AC67" s="241">
        <f>IF($E67=0,0,Dangchung!AC67)</f>
        <v>0</v>
      </c>
      <c r="AD67" s="241" t="str">
        <f>IF($E67=0,0,Dangchung!AD67)</f>
        <v>CN/06/Khá</v>
      </c>
      <c r="AE67" s="241">
        <f>IF($E67=0,0,Dangchung!AE67)</f>
        <v>351366246</v>
      </c>
      <c r="AF67" s="241" t="str">
        <f>IF($E67=0,0,Dangchung!AF67)</f>
        <v>13/04/2015</v>
      </c>
      <c r="AG67" s="241" t="str">
        <f>IF($E67=0,0,Dangchung!AG67)</f>
        <v>01/09/2004</v>
      </c>
      <c r="AH67" s="241" t="str">
        <f>IF($E67=0,0,Dangchung!AH67)</f>
        <v>23/06/2009</v>
      </c>
      <c r="AI67" s="241" t="str">
        <f>IF($E67=0,0,Dangchung!AI67)</f>
        <v>31.040 611</v>
      </c>
      <c r="AJ67" s="241">
        <f>IF($E67=0,0,Dangchung!AJ67)</f>
        <v>2009</v>
      </c>
      <c r="AK67" s="241" t="str">
        <f>IF($E67=0,0,Dangchung!AK67)</f>
        <v>0917462746</v>
      </c>
      <c r="AL67" s="212"/>
    </row>
    <row r="68" spans="1:38" s="118" customFormat="1" x14ac:dyDescent="0.25">
      <c r="A68" s="220"/>
      <c r="B68" s="128">
        <f>IF(E68=0,0,MAX($B$8:B67)+1)</f>
        <v>30</v>
      </c>
      <c r="C68" s="132">
        <f>Dangchung!C68</f>
        <v>2</v>
      </c>
      <c r="D68" s="162">
        <f>IF(Dangchung!D68&lt;&gt;0,0,0)</f>
        <v>0</v>
      </c>
      <c r="E68" s="128" t="str">
        <f>IF(Dangchung!D68&lt;&gt;0,0,Dangchung!E68)</f>
        <v>Nguyễn Thanh Hiệp</v>
      </c>
      <c r="F68" s="123">
        <f>IF($E68=0,0,Dangchung!F68)</f>
        <v>0</v>
      </c>
      <c r="G68" s="123" t="str">
        <f>IF($E68=0,0,Dangchung!G68)</f>
        <v>13/09/1983</v>
      </c>
      <c r="H68" s="123">
        <f>IF($E68=0,0,Dangchung!H68)</f>
        <v>0</v>
      </c>
      <c r="I68" s="125">
        <f>IF($E68=0,0,Dangchung!I68)</f>
        <v>1983</v>
      </c>
      <c r="J68" s="125">
        <f>IF($E68=0,0,Dangchung!J68)</f>
        <v>0</v>
      </c>
      <c r="K68" s="123" t="str">
        <f>IF($E68=0,0,Dangchung!K68)</f>
        <v>GV</v>
      </c>
      <c r="L68" s="123">
        <f>IF($E68=0,0,Dangchung!L68)</f>
        <v>0</v>
      </c>
      <c r="M68" s="123" t="str">
        <f>IF($E68=0,0,Dangchung!M68)</f>
        <v>Hiếu Nghĩa</v>
      </c>
      <c r="N68" s="123" t="str">
        <f>IF($E68=0,0,Dangchung!N68)</f>
        <v>Nông dân</v>
      </c>
      <c r="O68" s="123" t="str">
        <f>IF($E68=0,0,Dangchung!O68)</f>
        <v>Vĩnh Thạnh Trung-AG</v>
      </c>
      <c r="P68" s="123" t="str">
        <f>IF($E68=0,0,Dangchung!P68)</f>
        <v>Vĩnh Thạnh Trung-Châu Phú</v>
      </c>
      <c r="Q68" s="123" t="str">
        <f>IF($E68=0,0,Dangchung!Q68)</f>
        <v>532/21 Vĩnh Quới-VTT</v>
      </c>
      <c r="R68" s="123" t="str">
        <f>IF($E68=0,0,Dangchung!R68)</f>
        <v>PTTH/02/Khá</v>
      </c>
      <c r="S68" s="123" t="str">
        <f>IF($E68=0,0,Dangchung!S68)</f>
        <v>CĐ3/Lý-KTCN/08/TBK</v>
      </c>
      <c r="T68" s="123">
        <f>IF($E68=0,0,Dangchung!T68)</f>
        <v>0</v>
      </c>
      <c r="U68" s="123">
        <f>IF($E68=0,0,Dangchung!U68)</f>
        <v>0</v>
      </c>
      <c r="V68" s="123" t="str">
        <f>IF($E68=0,0,Dangchung!V68)</f>
        <v>CĐ3/</v>
      </c>
      <c r="W68" s="241">
        <f>IF($E68=0,0,Dangchung!W68)</f>
        <v>0</v>
      </c>
      <c r="X68" s="241">
        <f>IF($E68=0,0,Dangchung!X68)</f>
        <v>0</v>
      </c>
      <c r="Y68" s="241" t="str">
        <f>IF($E68=0,0,Dangchung!Y68)</f>
        <v>A/06/TB</v>
      </c>
      <c r="Z68" s="241">
        <f>IF($E68=0,0,Dangchung!Z68)</f>
        <v>0</v>
      </c>
      <c r="AA68" s="241">
        <f>IF($E68=0,0,Dangchung!AA68)</f>
        <v>0</v>
      </c>
      <c r="AB68" s="241">
        <f>IF($E68=0,0,Dangchung!AB68)</f>
        <v>0</v>
      </c>
      <c r="AC68" s="241">
        <f>IF($E68=0,0,Dangchung!AC68)</f>
        <v>0</v>
      </c>
      <c r="AD68" s="241" t="str">
        <f>IF($E68=0,0,Dangchung!AD68)</f>
        <v>CN/15/Khá</v>
      </c>
      <c r="AE68" s="241">
        <f>IF($E68=0,0,Dangchung!AE68)</f>
        <v>351466527</v>
      </c>
      <c r="AF68" s="241" t="str">
        <f>IF($E68=0,0,Dangchung!AF68)</f>
        <v>16/07/2013</v>
      </c>
      <c r="AG68" s="241" t="str">
        <f>IF($E68=0,0,Dangchung!AG68)</f>
        <v>01/09/2009</v>
      </c>
      <c r="AH68" s="241" t="str">
        <f>IF($E68=0,0,Dangchung!AH68)</f>
        <v>24/08/2013</v>
      </c>
      <c r="AI68" s="241" t="str">
        <f>IF($E68=0,0,Dangchung!AI68)</f>
        <v>31.054 652</v>
      </c>
      <c r="AJ68" s="241">
        <f>IF($E68=0,0,Dangchung!AJ68)</f>
        <v>2013</v>
      </c>
      <c r="AK68" s="241" t="str">
        <f>IF($E68=0,0,Dangchung!AK68)</f>
        <v>0378908576</v>
      </c>
      <c r="AL68" s="212"/>
    </row>
    <row r="69" spans="1:38" s="118" customFormat="1" x14ac:dyDescent="0.25">
      <c r="A69" s="220"/>
      <c r="B69" s="128">
        <f>IF(E69=0,0,MAX($B$8:B68)+1)</f>
        <v>31</v>
      </c>
      <c r="C69" s="132">
        <f>Dangchung!C69</f>
        <v>3</v>
      </c>
      <c r="D69" s="162">
        <f>IF(Dangchung!D69&lt;&gt;0,0,0)</f>
        <v>0</v>
      </c>
      <c r="E69" s="128" t="str">
        <f>IF(Dangchung!D69&lt;&gt;0,0,Dangchung!E69)</f>
        <v>Nguyễn Thanh Tùng</v>
      </c>
      <c r="F69" s="123">
        <f>IF($E69=0,0,Dangchung!F69)</f>
        <v>0</v>
      </c>
      <c r="G69" s="123" t="str">
        <f>IF($E69=0,0,Dangchung!G69)</f>
        <v>25/04/1985</v>
      </c>
      <c r="H69" s="123">
        <f>IF($E69=0,0,Dangchung!H69)</f>
        <v>0</v>
      </c>
      <c r="I69" s="125">
        <f>IF($E69=0,0,Dangchung!I69)</f>
        <v>1985</v>
      </c>
      <c r="J69" s="125">
        <f>IF($E69=0,0,Dangchung!J69)</f>
        <v>0</v>
      </c>
      <c r="K69" s="123" t="str">
        <f>IF($E69=0,0,Dangchung!K69)</f>
        <v>GV</v>
      </c>
      <c r="L69" s="123">
        <f>IF($E69=0,0,Dangchung!L69)</f>
        <v>0</v>
      </c>
      <c r="M69" s="123" t="str">
        <f>IF($E69=0,0,Dangchung!M69)</f>
        <v>Hòa Hảo</v>
      </c>
      <c r="N69" s="123" t="str">
        <f>IF($E69=0,0,Dangchung!N69)</f>
        <v>Nông dân</v>
      </c>
      <c r="O69" s="123" t="str">
        <f>IF($E69=0,0,Dangchung!O69)</f>
        <v>Cái Dầu-AG</v>
      </c>
      <c r="P69" s="123" t="str">
        <f>IF($E69=0,0,Dangchung!P69)</f>
        <v>Cái Dầu-Châu Phú</v>
      </c>
      <c r="Q69" s="123" t="str">
        <f>IF($E69=0,0,Dangchung!Q69)</f>
        <v>187/7 Bình Hòa-Cái Dầu</v>
      </c>
      <c r="R69" s="123" t="str">
        <f>IF($E69=0,0,Dangchung!R69)</f>
        <v>PTTH/03/TB</v>
      </c>
      <c r="S69" s="123" t="str">
        <f>IF($E69=0,0,Dangchung!S69)</f>
        <v>CĐ3/Lý-KTCN/06/TBK</v>
      </c>
      <c r="T69" s="123" t="str">
        <f>IF($E69=0,0,Dangchung!T69)</f>
        <v>ĐHTX/Lý/10/Khá</v>
      </c>
      <c r="U69" s="123">
        <f>IF($E69=0,0,Dangchung!U69)</f>
        <v>0</v>
      </c>
      <c r="V69" s="123" t="str">
        <f>IF($E69=0,0,Dangchung!V69)</f>
        <v>ĐHTX</v>
      </c>
      <c r="W69" s="241">
        <f>IF($E69=0,0,Dangchung!W69)</f>
        <v>0</v>
      </c>
      <c r="X69" s="241">
        <f>IF($E69=0,0,Dangchung!X69)</f>
        <v>0</v>
      </c>
      <c r="Y69" s="241" t="str">
        <f>IF($E69=0,0,Dangchung!Y69)</f>
        <v>A/08/Giỏi</v>
      </c>
      <c r="Z69" s="241" t="str">
        <f>IF($E69=0,0,Dangchung!Z69)</f>
        <v>B/Anh/06/TB</v>
      </c>
      <c r="AA69" s="241">
        <f>IF($E69=0,0,Dangchung!AA69)</f>
        <v>0</v>
      </c>
      <c r="AB69" s="241">
        <f>IF($E69=0,0,Dangchung!AB69)</f>
        <v>0</v>
      </c>
      <c r="AC69" s="241">
        <f>IF($E69=0,0,Dangchung!AC69)</f>
        <v>0</v>
      </c>
      <c r="AD69" s="241" t="str">
        <f>IF($E69=0,0,Dangchung!AD69)</f>
        <v>CN/07/</v>
      </c>
      <c r="AE69" s="241">
        <f>IF($E69=0,0,Dangchung!AE69)</f>
        <v>351577155</v>
      </c>
      <c r="AF69" s="241" t="str">
        <f>IF($E69=0,0,Dangchung!AF69)</f>
        <v>30/09/2015</v>
      </c>
      <c r="AG69" s="241" t="str">
        <f>IF($E69=0,0,Dangchung!AG69)</f>
        <v>01/09/2006</v>
      </c>
      <c r="AH69" s="241" t="str">
        <f>IF($E69=0,0,Dangchung!AH69)</f>
        <v>03/11/2018</v>
      </c>
      <c r="AI69" s="241" t="str">
        <f>IF($E69=0,0,Dangchung!AI69)</f>
        <v>Chưa thẻ</v>
      </c>
      <c r="AJ69" s="241">
        <f>IF($E69=0,0,Dangchung!AJ69)</f>
        <v>2018</v>
      </c>
      <c r="AK69" s="241" t="str">
        <f>IF($E69=0,0,Dangchung!AK69)</f>
        <v>0972772477</v>
      </c>
      <c r="AL69" s="212"/>
    </row>
    <row r="70" spans="1:38" s="118" customFormat="1" x14ac:dyDescent="0.25">
      <c r="A70" s="220"/>
      <c r="B70" s="128">
        <f>IF(E70=0,0,MAX($B$8:B69)+1)</f>
        <v>32</v>
      </c>
      <c r="C70" s="132">
        <f>Dangchung!C70</f>
        <v>4</v>
      </c>
      <c r="D70" s="162">
        <f>IF(Dangchung!D70&lt;&gt;0,0,0)</f>
        <v>0</v>
      </c>
      <c r="E70" s="128" t="str">
        <f>IF(Dangchung!D70&lt;&gt;0,0,Dangchung!E70)</f>
        <v>Cao Thanh Phong</v>
      </c>
      <c r="F70" s="123">
        <f>IF($E70=0,0,Dangchung!F70)</f>
        <v>0</v>
      </c>
      <c r="G70" s="123" t="str">
        <f>IF($E70=0,0,Dangchung!G70)</f>
        <v>17/04/1976</v>
      </c>
      <c r="H70" s="123">
        <f>IF($E70=0,0,Dangchung!H70)</f>
        <v>0</v>
      </c>
      <c r="I70" s="125">
        <f>IF($E70=0,0,Dangchung!I70)</f>
        <v>1976</v>
      </c>
      <c r="J70" s="125">
        <f>IF($E70=0,0,Dangchung!J70)</f>
        <v>0</v>
      </c>
      <c r="K70" s="123" t="str">
        <f>IF($E70=0,0,Dangchung!K70)</f>
        <v>GV</v>
      </c>
      <c r="L70" s="123">
        <f>IF($E70=0,0,Dangchung!L70)</f>
        <v>0</v>
      </c>
      <c r="M70" s="123" t="str">
        <f>IF($E70=0,0,Dangchung!M70)</f>
        <v>Phật</v>
      </c>
      <c r="N70" s="123" t="str">
        <f>IF($E70=0,0,Dangchung!N70)</f>
        <v>Bần nông</v>
      </c>
      <c r="O70" s="123" t="str">
        <f>IF($E70=0,0,Dangchung!O70)</f>
        <v>Bình Long-An Giang</v>
      </c>
      <c r="P70" s="123" t="str">
        <f>IF($E70=0,0,Dangchung!P70)</f>
        <v>Bình Long-Châu Phú</v>
      </c>
      <c r="Q70" s="123" t="str">
        <f>IF($E70=0,0,Dangchung!Q70)</f>
        <v>Tổ 04 Chánh Hưng-Bình Long</v>
      </c>
      <c r="R70" s="123" t="str">
        <f>IF($E70=0,0,Dangchung!R70)</f>
        <v>PTTH/96/TB</v>
      </c>
      <c r="S70" s="123" t="str">
        <f>IF($E70=0,0,Dangchung!S70)</f>
        <v>CĐ3 KTĐiện/00/TB</v>
      </c>
      <c r="T70" s="123" t="str">
        <f>IF($E70=0,0,Dangchung!T70)</f>
        <v>ĐHTC/KTCN/13/Khá</v>
      </c>
      <c r="U70" s="123" t="str">
        <f>IF($E70=0,0,Dangchung!U70)</f>
        <v>ĐHTX/GDCT/12/Khá</v>
      </c>
      <c r="V70" s="123" t="str">
        <f>IF($E70=0,0,Dangchung!V70)</f>
        <v>ĐHTX</v>
      </c>
      <c r="W70" s="241">
        <f>IF($E70=0,0,Dangchung!W70)</f>
        <v>0</v>
      </c>
      <c r="X70" s="241" t="str">
        <f>IF($E70=0,0,Dangchung!X70)</f>
        <v>SC/18</v>
      </c>
      <c r="Y70" s="241" t="str">
        <f>IF($E70=0,0,Dangchung!Y70)</f>
        <v>A/08/Giỏi</v>
      </c>
      <c r="Z70" s="241">
        <f>IF($E70=0,0,Dangchung!Z70)</f>
        <v>0</v>
      </c>
      <c r="AA70" s="241">
        <f>IF($E70=0,0,Dangchung!AA70)</f>
        <v>0</v>
      </c>
      <c r="AB70" s="241">
        <f>IF($E70=0,0,Dangchung!AB70)</f>
        <v>0</v>
      </c>
      <c r="AC70" s="241">
        <f>IF($E70=0,0,Dangchung!AC70)</f>
        <v>0</v>
      </c>
      <c r="AD70" s="241" t="str">
        <f>IF($E70=0,0,Dangchung!AD70)</f>
        <v>CN/15/TB</v>
      </c>
      <c r="AE70" s="241">
        <f>IF($E70=0,0,Dangchung!AE70)</f>
        <v>351230947</v>
      </c>
      <c r="AF70" s="241" t="str">
        <f>IF($E70=0,0,Dangchung!AF70)</f>
        <v>13/07/2010</v>
      </c>
      <c r="AG70" s="241" t="str">
        <f>IF($E70=0,0,Dangchung!AG70)</f>
        <v>01/05/2000</v>
      </c>
      <c r="AH70" s="241" t="str">
        <f>IF($E70=0,0,Dangchung!AH70)</f>
        <v>22/11/2008</v>
      </c>
      <c r="AI70" s="241" t="str">
        <f>IF($E70=0,0,Dangchung!AI70)</f>
        <v>31.038 083</v>
      </c>
      <c r="AJ70" s="241">
        <f>IF($E70=0,0,Dangchung!AJ70)</f>
        <v>2008</v>
      </c>
      <c r="AK70" s="241" t="str">
        <f>IF($E70=0,0,Dangchung!AK70)</f>
        <v>0907598297</v>
      </c>
      <c r="AL70" s="212"/>
    </row>
    <row r="71" spans="1:38" s="118" customFormat="1" hidden="1" x14ac:dyDescent="0.25">
      <c r="A71" s="220"/>
      <c r="B71" s="128">
        <f>IF(E71=0,0,MAX($B$8:B70)+1)</f>
        <v>0</v>
      </c>
      <c r="C71" s="132">
        <f>Dangchung!C71</f>
        <v>0</v>
      </c>
      <c r="D71" s="162">
        <f>IF(Dangchung!D71&lt;&gt;0,0,0)</f>
        <v>0</v>
      </c>
      <c r="E71" s="128">
        <f>IF(Dangchung!D71&lt;&gt;0,0,Dangchung!E71)</f>
        <v>0</v>
      </c>
      <c r="F71" s="123">
        <f>IF($E71=0,0,Dangchung!F71)</f>
        <v>0</v>
      </c>
      <c r="G71" s="123">
        <f>IF($E71=0,0,Dangchung!G71)</f>
        <v>0</v>
      </c>
      <c r="H71" s="123">
        <f>IF($E71=0,0,Dangchung!H71)</f>
        <v>0</v>
      </c>
      <c r="I71" s="125">
        <f>IF($E71=0,0,Dangchung!I71)</f>
        <v>0</v>
      </c>
      <c r="J71" s="125">
        <f>IF($E71=0,0,Dangchung!J71)</f>
        <v>0</v>
      </c>
      <c r="K71" s="123">
        <f>IF($E71=0,0,Dangchung!K71)</f>
        <v>0</v>
      </c>
      <c r="L71" s="123">
        <f>IF($E71=0,0,Dangchung!L71)</f>
        <v>0</v>
      </c>
      <c r="M71" s="123">
        <f>IF($E71=0,0,Dangchung!M71)</f>
        <v>0</v>
      </c>
      <c r="N71" s="123">
        <f>IF($E71=0,0,Dangchung!N71)</f>
        <v>0</v>
      </c>
      <c r="O71" s="123">
        <f>IF($E71=0,0,Dangchung!O71)</f>
        <v>0</v>
      </c>
      <c r="P71" s="123">
        <f>IF($E71=0,0,Dangchung!P71)</f>
        <v>0</v>
      </c>
      <c r="Q71" s="123">
        <f>IF($E71=0,0,Dangchung!Q71)</f>
        <v>0</v>
      </c>
      <c r="R71" s="123">
        <f>IF($E71=0,0,Dangchung!R71)</f>
        <v>0</v>
      </c>
      <c r="S71" s="123">
        <f>IF($E71=0,0,Dangchung!S71)</f>
        <v>0</v>
      </c>
      <c r="T71" s="123">
        <f>IF($E71=0,0,Dangchung!T71)</f>
        <v>0</v>
      </c>
      <c r="U71" s="123">
        <f>IF($E71=0,0,Dangchung!U71)</f>
        <v>0</v>
      </c>
      <c r="V71" s="123">
        <f>IF($E71=0,0,Dangchung!V71)</f>
        <v>0</v>
      </c>
      <c r="W71" s="241">
        <f>IF($E71=0,0,Dangchung!W71)</f>
        <v>0</v>
      </c>
      <c r="X71" s="241">
        <f>IF($E71=0,0,Dangchung!X71)</f>
        <v>0</v>
      </c>
      <c r="Y71" s="241">
        <f>IF($E71=0,0,Dangchung!Y71)</f>
        <v>0</v>
      </c>
      <c r="Z71" s="241">
        <f>IF($E71=0,0,Dangchung!Z71)</f>
        <v>0</v>
      </c>
      <c r="AA71" s="241">
        <f>IF($E71=0,0,Dangchung!AA71)</f>
        <v>0</v>
      </c>
      <c r="AB71" s="241">
        <f>IF($E71=0,0,Dangchung!AB71)</f>
        <v>0</v>
      </c>
      <c r="AC71" s="241">
        <f>IF($E71=0,0,Dangchung!AC71)</f>
        <v>0</v>
      </c>
      <c r="AD71" s="241">
        <f>IF($E71=0,0,Dangchung!AD71)</f>
        <v>0</v>
      </c>
      <c r="AE71" s="241">
        <f>IF($E71=0,0,Dangchung!AE71)</f>
        <v>0</v>
      </c>
      <c r="AF71" s="241">
        <f>IF($E71=0,0,Dangchung!AF71)</f>
        <v>0</v>
      </c>
      <c r="AG71" s="241">
        <f>IF($E71=0,0,Dangchung!AG71)</f>
        <v>0</v>
      </c>
      <c r="AH71" s="241">
        <f>IF($E71=0,0,Dangchung!AH71)</f>
        <v>0</v>
      </c>
      <c r="AI71" s="241">
        <f>IF($E71=0,0,Dangchung!AI71)</f>
        <v>0</v>
      </c>
      <c r="AJ71" s="241">
        <f>IF($E71=0,0,Dangchung!AJ71)</f>
        <v>0</v>
      </c>
      <c r="AK71" s="241">
        <f>IF($E71=0,0,Dangchung!AK71)</f>
        <v>0</v>
      </c>
      <c r="AL71" s="212"/>
    </row>
    <row r="72" spans="1:38" s="118" customFormat="1" hidden="1" x14ac:dyDescent="0.25">
      <c r="A72" s="220"/>
      <c r="B72" s="128">
        <f>IF(E72=0,0,MAX($B$8:B71)+1)</f>
        <v>0</v>
      </c>
      <c r="C72" s="132">
        <f>Dangchung!C72</f>
        <v>0</v>
      </c>
      <c r="D72" s="162">
        <f>IF(Dangchung!D72&lt;&gt;0,0,0)</f>
        <v>0</v>
      </c>
      <c r="E72" s="128">
        <f>IF(Dangchung!D72&lt;&gt;0,0,Dangchung!E72)</f>
        <v>0</v>
      </c>
      <c r="F72" s="123">
        <f>IF($E72=0,0,Dangchung!F72)</f>
        <v>0</v>
      </c>
      <c r="G72" s="123">
        <f>IF($E72=0,0,Dangchung!G72)</f>
        <v>0</v>
      </c>
      <c r="H72" s="123">
        <f>IF($E72=0,0,Dangchung!H72)</f>
        <v>0</v>
      </c>
      <c r="I72" s="125">
        <f>IF($E72=0,0,Dangchung!I72)</f>
        <v>0</v>
      </c>
      <c r="J72" s="125">
        <f>IF($E72=0,0,Dangchung!J72)</f>
        <v>0</v>
      </c>
      <c r="K72" s="123">
        <f>IF($E72=0,0,Dangchung!K72)</f>
        <v>0</v>
      </c>
      <c r="L72" s="123">
        <f>IF($E72=0,0,Dangchung!L72)</f>
        <v>0</v>
      </c>
      <c r="M72" s="123">
        <f>IF($E72=0,0,Dangchung!M72)</f>
        <v>0</v>
      </c>
      <c r="N72" s="123">
        <f>IF($E72=0,0,Dangchung!N72)</f>
        <v>0</v>
      </c>
      <c r="O72" s="123">
        <f>IF($E72=0,0,Dangchung!O72)</f>
        <v>0</v>
      </c>
      <c r="P72" s="123">
        <f>IF($E72=0,0,Dangchung!P72)</f>
        <v>0</v>
      </c>
      <c r="Q72" s="123">
        <f>IF($E72=0,0,Dangchung!Q72)</f>
        <v>0</v>
      </c>
      <c r="R72" s="123">
        <f>IF($E72=0,0,Dangchung!R72)</f>
        <v>0</v>
      </c>
      <c r="S72" s="123">
        <f>IF($E72=0,0,Dangchung!S72)</f>
        <v>0</v>
      </c>
      <c r="T72" s="123">
        <f>IF($E72=0,0,Dangchung!T72)</f>
        <v>0</v>
      </c>
      <c r="U72" s="123">
        <f>IF($E72=0,0,Dangchung!U72)</f>
        <v>0</v>
      </c>
      <c r="V72" s="123">
        <f>IF($E72=0,0,Dangchung!V72)</f>
        <v>0</v>
      </c>
      <c r="W72" s="241">
        <f>IF($E72=0,0,Dangchung!W72)</f>
        <v>0</v>
      </c>
      <c r="X72" s="241">
        <f>IF($E72=0,0,Dangchung!X72)</f>
        <v>0</v>
      </c>
      <c r="Y72" s="241">
        <f>IF($E72=0,0,Dangchung!Y72)</f>
        <v>0</v>
      </c>
      <c r="Z72" s="241">
        <f>IF($E72=0,0,Dangchung!Z72)</f>
        <v>0</v>
      </c>
      <c r="AA72" s="241">
        <f>IF($E72=0,0,Dangchung!AA72)</f>
        <v>0</v>
      </c>
      <c r="AB72" s="241">
        <f>IF($E72=0,0,Dangchung!AB72)</f>
        <v>0</v>
      </c>
      <c r="AC72" s="241">
        <f>IF($E72=0,0,Dangchung!AC72)</f>
        <v>0</v>
      </c>
      <c r="AD72" s="241">
        <f>IF($E72=0,0,Dangchung!AD72)</f>
        <v>0</v>
      </c>
      <c r="AE72" s="241">
        <f>IF($E72=0,0,Dangchung!AE72)</f>
        <v>0</v>
      </c>
      <c r="AF72" s="241">
        <f>IF($E72=0,0,Dangchung!AF72)</f>
        <v>0</v>
      </c>
      <c r="AG72" s="241">
        <f>IF($E72=0,0,Dangchung!AG72)</f>
        <v>0</v>
      </c>
      <c r="AH72" s="241">
        <f>IF($E72=0,0,Dangchung!AH72)</f>
        <v>0</v>
      </c>
      <c r="AI72" s="241">
        <f>IF($E72=0,0,Dangchung!AI72)</f>
        <v>0</v>
      </c>
      <c r="AJ72" s="241">
        <f>IF($E72=0,0,Dangchung!AJ72)</f>
        <v>0</v>
      </c>
      <c r="AK72" s="241">
        <f>IF($E72=0,0,Dangchung!AK72)</f>
        <v>0</v>
      </c>
      <c r="AL72" s="212"/>
    </row>
    <row r="73" spans="1:38" s="118" customFormat="1" hidden="1" x14ac:dyDescent="0.25">
      <c r="A73" s="220"/>
      <c r="B73" s="128">
        <f>IF(E73=0,0,MAX($B$8:B72)+1)</f>
        <v>0</v>
      </c>
      <c r="C73" s="132">
        <f>Dangchung!C73</f>
        <v>0</v>
      </c>
      <c r="D73" s="162">
        <f>IF(Dangchung!D73&lt;&gt;0,0,0)</f>
        <v>0</v>
      </c>
      <c r="E73" s="128">
        <f>IF(Dangchung!D73&lt;&gt;0,0,Dangchung!E73)</f>
        <v>0</v>
      </c>
      <c r="F73" s="123">
        <f>IF($E73=0,0,Dangchung!F73)</f>
        <v>0</v>
      </c>
      <c r="G73" s="123">
        <f>IF($E73=0,0,Dangchung!G73)</f>
        <v>0</v>
      </c>
      <c r="H73" s="123">
        <f>IF($E73=0,0,Dangchung!H73)</f>
        <v>0</v>
      </c>
      <c r="I73" s="125">
        <f>IF($E73=0,0,Dangchung!I73)</f>
        <v>0</v>
      </c>
      <c r="J73" s="125">
        <f>IF($E73=0,0,Dangchung!J73)</f>
        <v>0</v>
      </c>
      <c r="K73" s="123">
        <f>IF($E73=0,0,Dangchung!K73)</f>
        <v>0</v>
      </c>
      <c r="L73" s="123">
        <f>IF($E73=0,0,Dangchung!L73)</f>
        <v>0</v>
      </c>
      <c r="M73" s="123">
        <f>IF($E73=0,0,Dangchung!M73)</f>
        <v>0</v>
      </c>
      <c r="N73" s="123">
        <f>IF($E73=0,0,Dangchung!N73)</f>
        <v>0</v>
      </c>
      <c r="O73" s="123">
        <f>IF($E73=0,0,Dangchung!O73)</f>
        <v>0</v>
      </c>
      <c r="P73" s="123">
        <f>IF($E73=0,0,Dangchung!P73)</f>
        <v>0</v>
      </c>
      <c r="Q73" s="123">
        <f>IF($E73=0,0,Dangchung!Q73)</f>
        <v>0</v>
      </c>
      <c r="R73" s="123">
        <f>IF($E73=0,0,Dangchung!R73)</f>
        <v>0</v>
      </c>
      <c r="S73" s="123">
        <f>IF($E73=0,0,Dangchung!S73)</f>
        <v>0</v>
      </c>
      <c r="T73" s="123">
        <f>IF($E73=0,0,Dangchung!T73)</f>
        <v>0</v>
      </c>
      <c r="U73" s="123">
        <f>IF($E73=0,0,Dangchung!U73)</f>
        <v>0</v>
      </c>
      <c r="V73" s="123">
        <f>IF($E73=0,0,Dangchung!V73)</f>
        <v>0</v>
      </c>
      <c r="W73" s="241">
        <f>IF($E73=0,0,Dangchung!W73)</f>
        <v>0</v>
      </c>
      <c r="X73" s="241">
        <f>IF($E73=0,0,Dangchung!X73)</f>
        <v>0</v>
      </c>
      <c r="Y73" s="241">
        <f>IF($E73=0,0,Dangchung!Y73)</f>
        <v>0</v>
      </c>
      <c r="Z73" s="241">
        <f>IF($E73=0,0,Dangchung!Z73)</f>
        <v>0</v>
      </c>
      <c r="AA73" s="241">
        <f>IF($E73=0,0,Dangchung!AA73)</f>
        <v>0</v>
      </c>
      <c r="AB73" s="241">
        <f>IF($E73=0,0,Dangchung!AB73)</f>
        <v>0</v>
      </c>
      <c r="AC73" s="241">
        <f>IF($E73=0,0,Dangchung!AC73)</f>
        <v>0</v>
      </c>
      <c r="AD73" s="241">
        <f>IF($E73=0,0,Dangchung!AD73)</f>
        <v>0</v>
      </c>
      <c r="AE73" s="241">
        <f>IF($E73=0,0,Dangchung!AE73)</f>
        <v>0</v>
      </c>
      <c r="AF73" s="241">
        <f>IF($E73=0,0,Dangchung!AF73)</f>
        <v>0</v>
      </c>
      <c r="AG73" s="241">
        <f>IF($E73=0,0,Dangchung!AG73)</f>
        <v>0</v>
      </c>
      <c r="AH73" s="241">
        <f>IF($E73=0,0,Dangchung!AH73)</f>
        <v>0</v>
      </c>
      <c r="AI73" s="241">
        <f>IF($E73=0,0,Dangchung!AI73)</f>
        <v>0</v>
      </c>
      <c r="AJ73" s="241">
        <f>IF($E73=0,0,Dangchung!AJ73)</f>
        <v>0</v>
      </c>
      <c r="AK73" s="241">
        <f>IF($E73=0,0,Dangchung!AK73)</f>
        <v>0</v>
      </c>
      <c r="AL73" s="212"/>
    </row>
    <row r="74" spans="1:38" s="118" customFormat="1" x14ac:dyDescent="0.25">
      <c r="A74" s="220"/>
      <c r="B74" s="128">
        <f>IF(E74=0,0,MAX($B$8:B73)+1)</f>
        <v>33</v>
      </c>
      <c r="C74" s="132">
        <f>Dangchung!C74</f>
        <v>5</v>
      </c>
      <c r="D74" s="162">
        <f>IF(Dangchung!D74&lt;&gt;0,0,0)</f>
        <v>0</v>
      </c>
      <c r="E74" s="128" t="str">
        <f>IF(Dangchung!D74&lt;&gt;0,0,Dangchung!E74)</f>
        <v>Trịnh Thị Thanh Trúc</v>
      </c>
      <c r="F74" s="123" t="str">
        <f>IF($E74=0,0,Dangchung!F74)</f>
        <v>x</v>
      </c>
      <c r="G74" s="123">
        <f>IF($E74=0,0,Dangchung!G74)</f>
        <v>0</v>
      </c>
      <c r="H74" s="123" t="str">
        <f>IF($E74=0,0,Dangchung!H74)</f>
        <v>24/07/1978</v>
      </c>
      <c r="I74" s="125">
        <f>IF($E74=0,0,Dangchung!I74)</f>
        <v>0</v>
      </c>
      <c r="J74" s="125">
        <f>IF($E74=0,0,Dangchung!J74)</f>
        <v>1978</v>
      </c>
      <c r="K74" s="123" t="str">
        <f>IF($E74=0,0,Dangchung!K74)</f>
        <v>GV</v>
      </c>
      <c r="L74" s="123">
        <f>IF($E74=0,0,Dangchung!L74)</f>
        <v>0</v>
      </c>
      <c r="M74" s="123" t="str">
        <f>IF($E74=0,0,Dangchung!M74)</f>
        <v>x</v>
      </c>
      <c r="N74" s="123" t="str">
        <f>IF($E74=0,0,Dangchung!N74)</f>
        <v>Tiểu thương</v>
      </c>
      <c r="O74" s="123" t="str">
        <f>IF($E74=0,0,Dangchung!O74)</f>
        <v>Châu Phú B-AG</v>
      </c>
      <c r="P74" s="123" t="str">
        <f>IF($E74=0,0,Dangchung!P74)</f>
        <v>Châu Phú B-Châu Đốc</v>
      </c>
      <c r="Q74" s="123" t="str">
        <f>IF($E74=0,0,Dangchung!Q74)</f>
        <v>82/5 Bình Chánh-Bình Long</v>
      </c>
      <c r="R74" s="123" t="str">
        <f>IF($E74=0,0,Dangchung!R74)</f>
        <v>PTTH/97/TB</v>
      </c>
      <c r="S74" s="123" t="str">
        <f>IF($E74=0,0,Dangchung!S74)</f>
        <v>CĐ3/Hóa-Sinh/01/TBK</v>
      </c>
      <c r="T74" s="123" t="str">
        <f>IF($E74=0,0,Dangchung!T74)</f>
        <v>ĐHTX/Hóa/07/Khá</v>
      </c>
      <c r="U74" s="123">
        <f>IF($E74=0,0,Dangchung!U74)</f>
        <v>0</v>
      </c>
      <c r="V74" s="123" t="str">
        <f>IF($E74=0,0,Dangchung!V74)</f>
        <v>ĐHTX</v>
      </c>
      <c r="W74" s="241">
        <f>IF($E74=0,0,Dangchung!W74)</f>
        <v>0</v>
      </c>
      <c r="X74" s="241">
        <f>IF($E74=0,0,Dangchung!X74)</f>
        <v>0</v>
      </c>
      <c r="Y74" s="241" t="str">
        <f>IF($E74=0,0,Dangchung!Y74)</f>
        <v>A/05/Khá</v>
      </c>
      <c r="Z74" s="241" t="str">
        <f>IF($E74=0,0,Dangchung!Z74)</f>
        <v>B/Anh/08/TB</v>
      </c>
      <c r="AA74" s="241">
        <f>IF($E74=0,0,Dangchung!AA74)</f>
        <v>0</v>
      </c>
      <c r="AB74" s="241">
        <f>IF($E74=0,0,Dangchung!AB74)</f>
        <v>0</v>
      </c>
      <c r="AC74" s="241">
        <f>IF($E74=0,0,Dangchung!AC74)</f>
        <v>0</v>
      </c>
      <c r="AD74" s="241" t="str">
        <f>IF($E74=0,0,Dangchung!AD74)</f>
        <v>CN/18/Khá</v>
      </c>
      <c r="AE74" s="241">
        <f>IF($E74=0,0,Dangchung!AE74)</f>
        <v>351174475</v>
      </c>
      <c r="AF74" s="241" t="str">
        <f>IF($E74=0,0,Dangchung!AF74)</f>
        <v>16/06/2016</v>
      </c>
      <c r="AG74" s="241" t="str">
        <f>IF($E74=0,0,Dangchung!AG74)</f>
        <v>01/09/2001</v>
      </c>
      <c r="AH74" s="241" t="str">
        <f>IF($E74=0,0,Dangchung!AH74)</f>
        <v>30/12/2006</v>
      </c>
      <c r="AI74" s="241" t="str">
        <f>IF($E74=0,0,Dangchung!AI74)</f>
        <v>31.031 684</v>
      </c>
      <c r="AJ74" s="241">
        <f>IF($E74=0,0,Dangchung!AJ74)</f>
        <v>2006</v>
      </c>
      <c r="AK74" s="241" t="str">
        <f>IF($E74=0,0,Dangchung!AK74)</f>
        <v>0756957121</v>
      </c>
      <c r="AL74" s="212"/>
    </row>
    <row r="75" spans="1:38" s="118" customFormat="1" hidden="1" x14ac:dyDescent="0.25">
      <c r="A75" s="220"/>
      <c r="B75" s="128">
        <f>IF(E75=0,0,MAX($B$8:B74)+1)</f>
        <v>0</v>
      </c>
      <c r="C75" s="132">
        <f>Dangchung!C75</f>
        <v>0</v>
      </c>
      <c r="D75" s="162">
        <f>IF(Dangchung!D75&lt;&gt;0,0,0)</f>
        <v>0</v>
      </c>
      <c r="E75" s="128">
        <f>IF(Dangchung!D75&lt;&gt;0,0,Dangchung!E75)</f>
        <v>0</v>
      </c>
      <c r="F75" s="123">
        <f>IF($E75=0,0,Dangchung!F75)</f>
        <v>0</v>
      </c>
      <c r="G75" s="123">
        <f>IF($E75=0,0,Dangchung!G75)</f>
        <v>0</v>
      </c>
      <c r="H75" s="123">
        <f>IF($E75=0,0,Dangchung!H75)</f>
        <v>0</v>
      </c>
      <c r="I75" s="125">
        <f>IF($E75=0,0,Dangchung!I75)</f>
        <v>0</v>
      </c>
      <c r="J75" s="125">
        <f>IF($E75=0,0,Dangchung!J75)</f>
        <v>0</v>
      </c>
      <c r="K75" s="123">
        <f>IF($E75=0,0,Dangchung!K75)</f>
        <v>0</v>
      </c>
      <c r="L75" s="123">
        <f>IF($E75=0,0,Dangchung!L75)</f>
        <v>0</v>
      </c>
      <c r="M75" s="123">
        <f>IF($E75=0,0,Dangchung!M75)</f>
        <v>0</v>
      </c>
      <c r="N75" s="123">
        <f>IF($E75=0,0,Dangchung!N75)</f>
        <v>0</v>
      </c>
      <c r="O75" s="123">
        <f>IF($E75=0,0,Dangchung!O75)</f>
        <v>0</v>
      </c>
      <c r="P75" s="123">
        <f>IF($E75=0,0,Dangchung!P75)</f>
        <v>0</v>
      </c>
      <c r="Q75" s="123">
        <f>IF($E75=0,0,Dangchung!Q75)</f>
        <v>0</v>
      </c>
      <c r="R75" s="123">
        <f>IF($E75=0,0,Dangchung!R75)</f>
        <v>0</v>
      </c>
      <c r="S75" s="123">
        <f>IF($E75=0,0,Dangchung!S75)</f>
        <v>0</v>
      </c>
      <c r="T75" s="123">
        <f>IF($E75=0,0,Dangchung!T75)</f>
        <v>0</v>
      </c>
      <c r="U75" s="123">
        <f>IF($E75=0,0,Dangchung!U75)</f>
        <v>0</v>
      </c>
      <c r="V75" s="123">
        <f>IF($E75=0,0,Dangchung!V75)</f>
        <v>0</v>
      </c>
      <c r="W75" s="241">
        <f>IF($E75=0,0,Dangchung!W75)</f>
        <v>0</v>
      </c>
      <c r="X75" s="241">
        <f>IF($E75=0,0,Dangchung!X75)</f>
        <v>0</v>
      </c>
      <c r="Y75" s="241">
        <f>IF($E75=0,0,Dangchung!Y75)</f>
        <v>0</v>
      </c>
      <c r="Z75" s="241">
        <f>IF($E75=0,0,Dangchung!Z75)</f>
        <v>0</v>
      </c>
      <c r="AA75" s="241">
        <f>IF($E75=0,0,Dangchung!AA75)</f>
        <v>0</v>
      </c>
      <c r="AB75" s="241">
        <f>IF($E75=0,0,Dangchung!AB75)</f>
        <v>0</v>
      </c>
      <c r="AC75" s="241">
        <f>IF($E75=0,0,Dangchung!AC75)</f>
        <v>0</v>
      </c>
      <c r="AD75" s="241">
        <f>IF($E75=0,0,Dangchung!AD75)</f>
        <v>0</v>
      </c>
      <c r="AE75" s="241">
        <f>IF($E75=0,0,Dangchung!AE75)</f>
        <v>0</v>
      </c>
      <c r="AF75" s="241">
        <f>IF($E75=0,0,Dangchung!AF75)</f>
        <v>0</v>
      </c>
      <c r="AG75" s="241">
        <f>IF($E75=0,0,Dangchung!AG75)</f>
        <v>0</v>
      </c>
      <c r="AH75" s="241">
        <f>IF($E75=0,0,Dangchung!AH75)</f>
        <v>0</v>
      </c>
      <c r="AI75" s="241">
        <f>IF($E75=0,0,Dangchung!AI75)</f>
        <v>0</v>
      </c>
      <c r="AJ75" s="241">
        <f>IF($E75=0,0,Dangchung!AJ75)</f>
        <v>0</v>
      </c>
      <c r="AK75" s="241">
        <f>IF($E75=0,0,Dangchung!AK75)</f>
        <v>0</v>
      </c>
      <c r="AL75" s="212"/>
    </row>
    <row r="76" spans="1:38" s="118" customFormat="1" hidden="1" x14ac:dyDescent="0.25">
      <c r="A76" s="220"/>
      <c r="B76" s="128">
        <f>IF(E76=0,0,MAX($B$8:B75)+1)</f>
        <v>0</v>
      </c>
      <c r="C76" s="132">
        <f>Dangchung!C76</f>
        <v>0</v>
      </c>
      <c r="D76" s="162">
        <f>IF(Dangchung!D76&lt;&gt;0,0,0)</f>
        <v>0</v>
      </c>
      <c r="E76" s="128">
        <f>IF(Dangchung!D76&lt;&gt;0,0,Dangchung!E76)</f>
        <v>0</v>
      </c>
      <c r="F76" s="123">
        <f>IF($E76=0,0,Dangchung!F76)</f>
        <v>0</v>
      </c>
      <c r="G76" s="123">
        <f>IF($E76=0,0,Dangchung!G76)</f>
        <v>0</v>
      </c>
      <c r="H76" s="123">
        <f>IF($E76=0,0,Dangchung!H76)</f>
        <v>0</v>
      </c>
      <c r="I76" s="125">
        <f>IF($E76=0,0,Dangchung!I76)</f>
        <v>0</v>
      </c>
      <c r="J76" s="125">
        <f>IF($E76=0,0,Dangchung!J76)</f>
        <v>0</v>
      </c>
      <c r="K76" s="123">
        <f>IF($E76=0,0,Dangchung!K76)</f>
        <v>0</v>
      </c>
      <c r="L76" s="123">
        <f>IF($E76=0,0,Dangchung!L76)</f>
        <v>0</v>
      </c>
      <c r="M76" s="123">
        <f>IF($E76=0,0,Dangchung!M76)</f>
        <v>0</v>
      </c>
      <c r="N76" s="123">
        <f>IF($E76=0,0,Dangchung!N76)</f>
        <v>0</v>
      </c>
      <c r="O76" s="123">
        <f>IF($E76=0,0,Dangchung!O76)</f>
        <v>0</v>
      </c>
      <c r="P76" s="123">
        <f>IF($E76=0,0,Dangchung!P76)</f>
        <v>0</v>
      </c>
      <c r="Q76" s="123">
        <f>IF($E76=0,0,Dangchung!Q76)</f>
        <v>0</v>
      </c>
      <c r="R76" s="123">
        <f>IF($E76=0,0,Dangchung!R76)</f>
        <v>0</v>
      </c>
      <c r="S76" s="123">
        <f>IF($E76=0,0,Dangchung!S76)</f>
        <v>0</v>
      </c>
      <c r="T76" s="123">
        <f>IF($E76=0,0,Dangchung!T76)</f>
        <v>0</v>
      </c>
      <c r="U76" s="123">
        <f>IF($E76=0,0,Dangchung!U76)</f>
        <v>0</v>
      </c>
      <c r="V76" s="123">
        <f>IF($E76=0,0,Dangchung!V76)</f>
        <v>0</v>
      </c>
      <c r="W76" s="241">
        <f>IF($E76=0,0,Dangchung!W76)</f>
        <v>0</v>
      </c>
      <c r="X76" s="241">
        <f>IF($E76=0,0,Dangchung!X76)</f>
        <v>0</v>
      </c>
      <c r="Y76" s="241">
        <f>IF($E76=0,0,Dangchung!Y76)</f>
        <v>0</v>
      </c>
      <c r="Z76" s="241">
        <f>IF($E76=0,0,Dangchung!Z76)</f>
        <v>0</v>
      </c>
      <c r="AA76" s="241">
        <f>IF($E76=0,0,Dangchung!AA76)</f>
        <v>0</v>
      </c>
      <c r="AB76" s="241">
        <f>IF($E76=0,0,Dangchung!AB76)</f>
        <v>0</v>
      </c>
      <c r="AC76" s="241">
        <f>IF($E76=0,0,Dangchung!AC76)</f>
        <v>0</v>
      </c>
      <c r="AD76" s="241">
        <f>IF($E76=0,0,Dangchung!AD76)</f>
        <v>0</v>
      </c>
      <c r="AE76" s="241">
        <f>IF($E76=0,0,Dangchung!AE76)</f>
        <v>0</v>
      </c>
      <c r="AF76" s="241">
        <f>IF($E76=0,0,Dangchung!AF76)</f>
        <v>0</v>
      </c>
      <c r="AG76" s="241">
        <f>IF($E76=0,0,Dangchung!AG76)</f>
        <v>0</v>
      </c>
      <c r="AH76" s="241">
        <f>IF($E76=0,0,Dangchung!AH76)</f>
        <v>0</v>
      </c>
      <c r="AI76" s="241">
        <f>IF($E76=0,0,Dangchung!AI76)</f>
        <v>0</v>
      </c>
      <c r="AJ76" s="241">
        <f>IF($E76=0,0,Dangchung!AJ76)</f>
        <v>0</v>
      </c>
      <c r="AK76" s="241">
        <f>IF($E76=0,0,Dangchung!AK76)</f>
        <v>0</v>
      </c>
      <c r="AL76" s="212"/>
    </row>
    <row r="77" spans="1:38" s="118" customFormat="1" x14ac:dyDescent="0.25">
      <c r="A77" s="220"/>
      <c r="B77" s="128">
        <f>IF(E77=0,0,MAX($B$8:B76)+1)</f>
        <v>34</v>
      </c>
      <c r="C77" s="132">
        <f>Dangchung!C77</f>
        <v>6</v>
      </c>
      <c r="D77" s="162">
        <f>IF(Dangchung!D77&lt;&gt;0,0,0)</f>
        <v>0</v>
      </c>
      <c r="E77" s="128" t="str">
        <f>IF(Dangchung!D77&lt;&gt;0,0,Dangchung!E77)</f>
        <v>Nguyễn Thị Phương Mai</v>
      </c>
      <c r="F77" s="123" t="str">
        <f>IF($E77=0,0,Dangchung!F77)</f>
        <v>x</v>
      </c>
      <c r="G77" s="123">
        <f>IF($E77=0,0,Dangchung!G77)</f>
        <v>0</v>
      </c>
      <c r="H77" s="123" t="str">
        <f>IF($E77=0,0,Dangchung!H77)</f>
        <v>19/05/1981</v>
      </c>
      <c r="I77" s="125">
        <f>IF($E77=0,0,Dangchung!I77)</f>
        <v>0</v>
      </c>
      <c r="J77" s="125">
        <f>IF($E77=0,0,Dangchung!J77)</f>
        <v>1981</v>
      </c>
      <c r="K77" s="123" t="str">
        <f>IF($E77=0,0,Dangchung!K77)</f>
        <v>GV</v>
      </c>
      <c r="L77" s="123">
        <f>IF($E77=0,0,Dangchung!L77)</f>
        <v>0</v>
      </c>
      <c r="M77" s="123" t="str">
        <f>IF($E77=0,0,Dangchung!M77)</f>
        <v>Hòa Hảo</v>
      </c>
      <c r="N77" s="123" t="str">
        <f>IF($E77=0,0,Dangchung!N77)</f>
        <v>Nông dân</v>
      </c>
      <c r="O77" s="123" t="str">
        <f>IF($E77=0,0,Dangchung!O77)</f>
        <v>Cái Dầu-AG</v>
      </c>
      <c r="P77" s="123" t="str">
        <f>IF($E77=0,0,Dangchung!P77)</f>
        <v>Thạnh Mỹ Tây-Châu Phú</v>
      </c>
      <c r="Q77" s="123" t="str">
        <f>IF($E77=0,0,Dangchung!Q77)</f>
        <v>831/23 Vĩnh Hưng-VTT</v>
      </c>
      <c r="R77" s="123" t="str">
        <f>IF($E77=0,0,Dangchung!R77)</f>
        <v>PTTH/99/TB</v>
      </c>
      <c r="S77" s="123" t="str">
        <f>IF($E77=0,0,Dangchung!S77)</f>
        <v>CĐ3/Sinh-KTNN/02/TBK</v>
      </c>
      <c r="T77" s="123" t="str">
        <f>IF($E77=0,0,Dangchung!T77)</f>
        <v>ĐHTX/Sinh/08/TBK</v>
      </c>
      <c r="U77" s="123">
        <f>IF($E77=0,0,Dangchung!U77)</f>
        <v>0</v>
      </c>
      <c r="V77" s="123" t="str">
        <f>IF($E77=0,0,Dangchung!V77)</f>
        <v>ĐHTX</v>
      </c>
      <c r="W77" s="241">
        <f>IF($E77=0,0,Dangchung!W77)</f>
        <v>0</v>
      </c>
      <c r="X77" s="241" t="str">
        <f>IF($E77=0,0,Dangchung!X77)</f>
        <v>SC/14</v>
      </c>
      <c r="Y77" s="241" t="str">
        <f>IF($E77=0,0,Dangchung!Y77)</f>
        <v>A/03/Giỏi</v>
      </c>
      <c r="Z77" s="241" t="str">
        <f>IF($E77=0,0,Dangchung!Z77)</f>
        <v>B/Anh/15/TB</v>
      </c>
      <c r="AA77" s="241">
        <f>IF($E77=0,0,Dangchung!AA77)</f>
        <v>0</v>
      </c>
      <c r="AB77" s="241">
        <f>IF($E77=0,0,Dangchung!AB77)</f>
        <v>0</v>
      </c>
      <c r="AC77" s="241">
        <f>IF($E77=0,0,Dangchung!AC77)</f>
        <v>0</v>
      </c>
      <c r="AD77" s="241" t="str">
        <f>IF($E77=0,0,Dangchung!AD77)</f>
        <v>CC/2009/Giỏi</v>
      </c>
      <c r="AE77" s="241">
        <f>IF($E77=0,0,Dangchung!AE77)</f>
        <v>351421420</v>
      </c>
      <c r="AF77" s="241" t="str">
        <f>IF($E77=0,0,Dangchung!AF77)</f>
        <v>17/03/2011</v>
      </c>
      <c r="AG77" s="241" t="str">
        <f>IF($E77=0,0,Dangchung!AG77)</f>
        <v>01/09/2003</v>
      </c>
      <c r="AH77" s="241" t="str">
        <f>IF($E77=0,0,Dangchung!AH77)</f>
        <v>19/05/2004</v>
      </c>
      <c r="AI77" s="241" t="str">
        <f>IF($E77=0,0,Dangchung!AI77)</f>
        <v>31.026 784</v>
      </c>
      <c r="AJ77" s="241">
        <f>IF($E77=0,0,Dangchung!AJ77)</f>
        <v>2004</v>
      </c>
      <c r="AK77" s="241" t="str">
        <f>IF($E77=0,0,Dangchung!AK77)</f>
        <v>"0973125128</v>
      </c>
      <c r="AL77" s="212"/>
    </row>
    <row r="78" spans="1:38" s="118" customFormat="1" x14ac:dyDescent="0.25">
      <c r="A78" s="220"/>
      <c r="B78" s="128">
        <f>IF(E78=0,0,MAX($B$8:B77)+1)</f>
        <v>35</v>
      </c>
      <c r="C78" s="132">
        <f>Dangchung!C78</f>
        <v>7</v>
      </c>
      <c r="D78" s="162">
        <f>IF(Dangchung!D78&lt;&gt;0,0,0)</f>
        <v>0</v>
      </c>
      <c r="E78" s="128" t="str">
        <f>IF(Dangchung!D78&lt;&gt;0,0,Dangchung!E78)</f>
        <v>Đoàn Thị Ghi</v>
      </c>
      <c r="F78" s="123" t="str">
        <f>IF($E78=0,0,Dangchung!F78)</f>
        <v>x</v>
      </c>
      <c r="G78" s="123">
        <f>IF($E78=0,0,Dangchung!G78)</f>
        <v>0</v>
      </c>
      <c r="H78" s="123" t="str">
        <f>IF($E78=0,0,Dangchung!H78)</f>
        <v>25/12/1981</v>
      </c>
      <c r="I78" s="125">
        <f>IF($E78=0,0,Dangchung!I78)</f>
        <v>0</v>
      </c>
      <c r="J78" s="125">
        <f>IF($E78=0,0,Dangchung!J78)</f>
        <v>1981</v>
      </c>
      <c r="K78" s="123" t="str">
        <f>IF($E78=0,0,Dangchung!K78)</f>
        <v>GV</v>
      </c>
      <c r="L78" s="123">
        <f>IF($E78=0,0,Dangchung!L78)</f>
        <v>0</v>
      </c>
      <c r="M78" s="123" t="str">
        <f>IF($E78=0,0,Dangchung!M78)</f>
        <v>Hòa Hảo</v>
      </c>
      <c r="N78" s="123" t="str">
        <f>IF($E78=0,0,Dangchung!N78)</f>
        <v>Nông dân</v>
      </c>
      <c r="O78" s="123" t="str">
        <f>IF($E78=0,0,Dangchung!O78)</f>
        <v>Mỹ Phú-AG</v>
      </c>
      <c r="P78" s="123" t="str">
        <f>IF($E78=0,0,Dangchung!P78)</f>
        <v>Mỹ Phú-Châu Phú</v>
      </c>
      <c r="Q78" s="123" t="str">
        <f>IF($E78=0,0,Dangchung!Q78)</f>
        <v>819/23 Vĩnh Hưng-VTT</v>
      </c>
      <c r="R78" s="123" t="str">
        <f>IF($E78=0,0,Dangchung!R78)</f>
        <v>PTTH/00/TB</v>
      </c>
      <c r="S78" s="123" t="str">
        <f>IF($E78=0,0,Dangchung!S78)</f>
        <v>CĐ3/Sinh-KTNN/05/Khá</v>
      </c>
      <c r="T78" s="123" t="str">
        <f>IF($E78=0,0,Dangchung!T78)</f>
        <v>ĐHTX/Sinh/10/TBK</v>
      </c>
      <c r="U78" s="123">
        <f>IF($E78=0,0,Dangchung!U78)</f>
        <v>0</v>
      </c>
      <c r="V78" s="123" t="str">
        <f>IF($E78=0,0,Dangchung!V78)</f>
        <v>ĐHTX</v>
      </c>
      <c r="W78" s="241">
        <f>IF($E78=0,0,Dangchung!W78)</f>
        <v>0</v>
      </c>
      <c r="X78" s="241" t="str">
        <f>IF($E78=0,0,Dangchung!X78)</f>
        <v>SC/18</v>
      </c>
      <c r="Y78" s="241" t="str">
        <f>IF($E78=0,0,Dangchung!Y78)</f>
        <v>A/07/Khá</v>
      </c>
      <c r="Z78" s="241" t="str">
        <f>IF($E78=0,0,Dangchung!Z78)</f>
        <v>A/Anh/13/Khá</v>
      </c>
      <c r="AA78" s="241">
        <f>IF($E78=0,0,Dangchung!AA78)</f>
        <v>0</v>
      </c>
      <c r="AB78" s="241">
        <f>IF($E78=0,0,Dangchung!AB78)</f>
        <v>0</v>
      </c>
      <c r="AC78" s="241">
        <f>IF($E78=0,0,Dangchung!AC78)</f>
        <v>0</v>
      </c>
      <c r="AD78" s="241" t="str">
        <f>IF($E78=0,0,Dangchung!AD78)</f>
        <v>CN/06/Khá</v>
      </c>
      <c r="AE78" s="241">
        <f>IF($E78=0,0,Dangchung!AE78)</f>
        <v>351421471</v>
      </c>
      <c r="AF78" s="241" t="str">
        <f>IF($E78=0,0,Dangchung!AF78)</f>
        <v>18/03/2011</v>
      </c>
      <c r="AG78" s="241" t="str">
        <f>IF($E78=0,0,Dangchung!AG78)</f>
        <v>01/09/2005</v>
      </c>
      <c r="AH78" s="241" t="str">
        <f>IF($E78=0,0,Dangchung!AH78)</f>
        <v>22/01/2010</v>
      </c>
      <c r="AI78" s="241" t="str">
        <f>IF($E78=0,0,Dangchung!AI78)</f>
        <v>31.047 721</v>
      </c>
      <c r="AJ78" s="241">
        <f>IF($E78=0,0,Dangchung!AJ78)</f>
        <v>2010</v>
      </c>
      <c r="AK78" s="241" t="str">
        <f>IF($E78=0,0,Dangchung!AK78)</f>
        <v>0988326346</v>
      </c>
      <c r="AL78" s="212"/>
    </row>
    <row r="79" spans="1:38" s="118" customFormat="1" hidden="1" x14ac:dyDescent="0.25">
      <c r="A79" s="220"/>
      <c r="B79" s="128">
        <f>IF(E79=0,0,MAX($B$8:B78)+1)</f>
        <v>0</v>
      </c>
      <c r="C79" s="132">
        <f>Dangchung!C79</f>
        <v>0</v>
      </c>
      <c r="D79" s="162">
        <f>IF(Dangchung!D79&lt;&gt;0,0,0)</f>
        <v>0</v>
      </c>
      <c r="E79" s="128">
        <f>IF(Dangchung!D79&lt;&gt;0,0,Dangchung!E79)</f>
        <v>0</v>
      </c>
      <c r="F79" s="123">
        <f>IF($E79=0,0,Dangchung!F79)</f>
        <v>0</v>
      </c>
      <c r="G79" s="123">
        <f>IF($E79=0,0,Dangchung!G79)</f>
        <v>0</v>
      </c>
      <c r="H79" s="123">
        <f>IF($E79=0,0,Dangchung!H79)</f>
        <v>0</v>
      </c>
      <c r="I79" s="125">
        <f>IF($E79=0,0,Dangchung!I79)</f>
        <v>0</v>
      </c>
      <c r="J79" s="125">
        <f>IF($E79=0,0,Dangchung!J79)</f>
        <v>0</v>
      </c>
      <c r="K79" s="123">
        <f>IF($E79=0,0,Dangchung!K79)</f>
        <v>0</v>
      </c>
      <c r="L79" s="123">
        <f>IF($E79=0,0,Dangchung!L79)</f>
        <v>0</v>
      </c>
      <c r="M79" s="123">
        <f>IF($E79=0,0,Dangchung!M79)</f>
        <v>0</v>
      </c>
      <c r="N79" s="123">
        <f>IF($E79=0,0,Dangchung!N79)</f>
        <v>0</v>
      </c>
      <c r="O79" s="123">
        <f>IF($E79=0,0,Dangchung!O79)</f>
        <v>0</v>
      </c>
      <c r="P79" s="123">
        <f>IF($E79=0,0,Dangchung!P79)</f>
        <v>0</v>
      </c>
      <c r="Q79" s="123">
        <f>IF($E79=0,0,Dangchung!Q79)</f>
        <v>0</v>
      </c>
      <c r="R79" s="123">
        <f>IF($E79=0,0,Dangchung!R79)</f>
        <v>0</v>
      </c>
      <c r="S79" s="123">
        <f>IF($E79=0,0,Dangchung!S79)</f>
        <v>0</v>
      </c>
      <c r="T79" s="123">
        <f>IF($E79=0,0,Dangchung!T79)</f>
        <v>0</v>
      </c>
      <c r="U79" s="123">
        <f>IF($E79=0,0,Dangchung!U79)</f>
        <v>0</v>
      </c>
      <c r="V79" s="123">
        <f>IF($E79=0,0,Dangchung!V79)</f>
        <v>0</v>
      </c>
      <c r="W79" s="241">
        <f>IF($E79=0,0,Dangchung!W79)</f>
        <v>0</v>
      </c>
      <c r="X79" s="241">
        <f>IF($E79=0,0,Dangchung!X79)</f>
        <v>0</v>
      </c>
      <c r="Y79" s="241">
        <f>IF($E79=0,0,Dangchung!Y79)</f>
        <v>0</v>
      </c>
      <c r="Z79" s="241">
        <f>IF($E79=0,0,Dangchung!Z79)</f>
        <v>0</v>
      </c>
      <c r="AA79" s="241">
        <f>IF($E79=0,0,Dangchung!AA79)</f>
        <v>0</v>
      </c>
      <c r="AB79" s="241">
        <f>IF($E79=0,0,Dangchung!AB79)</f>
        <v>0</v>
      </c>
      <c r="AC79" s="241">
        <f>IF($E79=0,0,Dangchung!AC79)</f>
        <v>0</v>
      </c>
      <c r="AD79" s="241">
        <f>IF($E79=0,0,Dangchung!AD79)</f>
        <v>0</v>
      </c>
      <c r="AE79" s="241">
        <f>IF($E79=0,0,Dangchung!AE79)</f>
        <v>0</v>
      </c>
      <c r="AF79" s="241">
        <f>IF($E79=0,0,Dangchung!AF79)</f>
        <v>0</v>
      </c>
      <c r="AG79" s="241">
        <f>IF($E79=0,0,Dangchung!AG79)</f>
        <v>0</v>
      </c>
      <c r="AH79" s="241">
        <f>IF($E79=0,0,Dangchung!AH79)</f>
        <v>0</v>
      </c>
      <c r="AI79" s="241">
        <f>IF($E79=0,0,Dangchung!AI79)</f>
        <v>0</v>
      </c>
      <c r="AJ79" s="241">
        <f>IF($E79=0,0,Dangchung!AJ79)</f>
        <v>0</v>
      </c>
      <c r="AK79" s="241">
        <f>IF($E79=0,0,Dangchung!AK79)</f>
        <v>0</v>
      </c>
      <c r="AL79" s="212"/>
    </row>
    <row r="80" spans="1:38" s="118" customFormat="1" x14ac:dyDescent="0.25">
      <c r="A80" s="220"/>
      <c r="B80" s="128">
        <f>IF(E80=0,0,MAX($B$8:B79)+1)</f>
        <v>36</v>
      </c>
      <c r="C80" s="132">
        <f>Dangchung!C80</f>
        <v>8</v>
      </c>
      <c r="D80" s="162">
        <f>IF(Dangchung!D80&lt;&gt;0,0,0)</f>
        <v>0</v>
      </c>
      <c r="E80" s="128" t="str">
        <f>IF(Dangchung!D80&lt;&gt;0,0,Dangchung!E80)</f>
        <v>Nguyễn Thanh Liêm</v>
      </c>
      <c r="F80" s="123">
        <f>IF($E80=0,0,Dangchung!F80)</f>
        <v>0</v>
      </c>
      <c r="G80" s="123" t="str">
        <f>IF($E80=0,0,Dangchung!G80)</f>
        <v>28/11/1983</v>
      </c>
      <c r="H80" s="123">
        <f>IF($E80=0,0,Dangchung!H80)</f>
        <v>0</v>
      </c>
      <c r="I80" s="125">
        <f>IF($E80=0,0,Dangchung!I80)</f>
        <v>1983</v>
      </c>
      <c r="J80" s="125">
        <f>IF($E80=0,0,Dangchung!J80)</f>
        <v>0</v>
      </c>
      <c r="K80" s="123" t="str">
        <f>IF($E80=0,0,Dangchung!K80)</f>
        <v>GV</v>
      </c>
      <c r="L80" s="123">
        <f>IF($E80=0,0,Dangchung!L80)</f>
        <v>0</v>
      </c>
      <c r="M80" s="123" t="str">
        <f>IF($E80=0,0,Dangchung!M80)</f>
        <v>Hòa Hảo</v>
      </c>
      <c r="N80" s="123" t="str">
        <f>IF($E80=0,0,Dangchung!N80)</f>
        <v>Nông dân</v>
      </c>
      <c r="O80" s="123" t="str">
        <f>IF($E80=0,0,Dangchung!O80)</f>
        <v>Bình Long-An Giang</v>
      </c>
      <c r="P80" s="123" t="str">
        <f>IF($E80=0,0,Dangchung!P80)</f>
        <v>Bình Long-Châu Phú</v>
      </c>
      <c r="Q80" s="123" t="str">
        <f>IF($E80=0,0,Dangchung!Q80)</f>
        <v>210/11Chánh Hưng-Bình Long</v>
      </c>
      <c r="R80" s="123" t="str">
        <f>IF($E80=0,0,Dangchung!R80)</f>
        <v>PTTH/01/Khá</v>
      </c>
      <c r="S80" s="123" t="str">
        <f>IF($E80=0,0,Dangchung!S80)</f>
        <v>CĐ3/Lý-KTCN/07/TBK</v>
      </c>
      <c r="T80" s="123" t="str">
        <f>IF($E80=0,0,Dangchung!T80)</f>
        <v>ĐHTX/Lý/11/TBK</v>
      </c>
      <c r="U80" s="123">
        <f>IF($E80=0,0,Dangchung!U80)</f>
        <v>0</v>
      </c>
      <c r="V80" s="123" t="str">
        <f>IF($E80=0,0,Dangchung!V80)</f>
        <v>ĐHTX</v>
      </c>
      <c r="W80" s="241">
        <f>IF($E80=0,0,Dangchung!W80)</f>
        <v>0</v>
      </c>
      <c r="X80" s="241" t="str">
        <f>IF($E80=0,0,Dangchung!X80)</f>
        <v>SC/16</v>
      </c>
      <c r="Y80" s="241" t="str">
        <f>IF($E80=0,0,Dangchung!Y80)</f>
        <v>A/07/Khá</v>
      </c>
      <c r="Z80" s="241">
        <f>IF($E80=0,0,Dangchung!Z80)</f>
        <v>0</v>
      </c>
      <c r="AA80" s="241">
        <f>IF($E80=0,0,Dangchung!AA80)</f>
        <v>0</v>
      </c>
      <c r="AB80" s="241">
        <f>IF($E80=0,0,Dangchung!AB80)</f>
        <v>0</v>
      </c>
      <c r="AC80" s="241">
        <f>IF($E80=0,0,Dangchung!AC80)</f>
        <v>0</v>
      </c>
      <c r="AD80" s="241" t="str">
        <f>IF($E80=0,0,Dangchung!AD80)</f>
        <v>CN/12/TB</v>
      </c>
      <c r="AE80" s="241">
        <f>IF($E80=0,0,Dangchung!AE80)</f>
        <v>351467450</v>
      </c>
      <c r="AF80" s="241" t="str">
        <f>IF($E80=0,0,Dangchung!AF80)</f>
        <v>10/07/2012</v>
      </c>
      <c r="AG80" s="241" t="str">
        <f>IF($E80=0,0,Dangchung!AG80)</f>
        <v>01/09/2007</v>
      </c>
      <c r="AH80" s="241" t="str">
        <f>IF($E80=0,0,Dangchung!AH80)</f>
        <v>29/04/2010</v>
      </c>
      <c r="AI80" s="241">
        <f>IF($E80=0,0,Dangchung!AI80)</f>
        <v>31042164</v>
      </c>
      <c r="AJ80" s="241">
        <f>IF($E80=0,0,Dangchung!AJ80)</f>
        <v>2010</v>
      </c>
      <c r="AK80" s="241" t="str">
        <f>IF($E80=0,0,Dangchung!AK80)</f>
        <v>0939815603</v>
      </c>
      <c r="AL80" s="212"/>
    </row>
    <row r="81" spans="1:38" s="118" customFormat="1" hidden="1" x14ac:dyDescent="0.25">
      <c r="A81" s="220"/>
      <c r="B81" s="128">
        <f>IF(E81=0,0,MAX($B$8:B80)+1)</f>
        <v>0</v>
      </c>
      <c r="C81" s="132">
        <f>Dangchung!C81</f>
        <v>0</v>
      </c>
      <c r="D81" s="162">
        <f>IF(Dangchung!D81&lt;&gt;0,0,0)</f>
        <v>0</v>
      </c>
      <c r="E81" s="128">
        <f>IF(Dangchung!D81&lt;&gt;0,0,Dangchung!E81)</f>
        <v>0</v>
      </c>
      <c r="F81" s="123">
        <f>IF($E81=0,0,Dangchung!F81)</f>
        <v>0</v>
      </c>
      <c r="G81" s="123">
        <f>IF($E81=0,0,Dangchung!G81)</f>
        <v>0</v>
      </c>
      <c r="H81" s="123">
        <f>IF($E81=0,0,Dangchung!H81)</f>
        <v>0</v>
      </c>
      <c r="I81" s="125">
        <f>IF($E81=0,0,Dangchung!I81)</f>
        <v>0</v>
      </c>
      <c r="J81" s="125">
        <f>IF($E81=0,0,Dangchung!J81)</f>
        <v>0</v>
      </c>
      <c r="K81" s="123">
        <f>IF($E81=0,0,Dangchung!K81)</f>
        <v>0</v>
      </c>
      <c r="L81" s="123">
        <f>IF($E81=0,0,Dangchung!L81)</f>
        <v>0</v>
      </c>
      <c r="M81" s="123">
        <f>IF($E81=0,0,Dangchung!M81)</f>
        <v>0</v>
      </c>
      <c r="N81" s="123">
        <f>IF($E81=0,0,Dangchung!N81)</f>
        <v>0</v>
      </c>
      <c r="O81" s="123">
        <f>IF($E81=0,0,Dangchung!O81)</f>
        <v>0</v>
      </c>
      <c r="P81" s="123">
        <f>IF($E81=0,0,Dangchung!P81)</f>
        <v>0</v>
      </c>
      <c r="Q81" s="123">
        <f>IF($E81=0,0,Dangchung!Q81)</f>
        <v>0</v>
      </c>
      <c r="R81" s="123">
        <f>IF($E81=0,0,Dangchung!R81)</f>
        <v>0</v>
      </c>
      <c r="S81" s="123">
        <f>IF($E81=0,0,Dangchung!S81)</f>
        <v>0</v>
      </c>
      <c r="T81" s="123">
        <f>IF($E81=0,0,Dangchung!T81)</f>
        <v>0</v>
      </c>
      <c r="U81" s="123">
        <f>IF($E81=0,0,Dangchung!U81)</f>
        <v>0</v>
      </c>
      <c r="V81" s="123">
        <f>IF($E81=0,0,Dangchung!V81)</f>
        <v>0</v>
      </c>
      <c r="W81" s="241">
        <f>IF($E81=0,0,Dangchung!W81)</f>
        <v>0</v>
      </c>
      <c r="X81" s="241">
        <f>IF($E81=0,0,Dangchung!X81)</f>
        <v>0</v>
      </c>
      <c r="Y81" s="241">
        <f>IF($E81=0,0,Dangchung!Y81)</f>
        <v>0</v>
      </c>
      <c r="Z81" s="241">
        <f>IF($E81=0,0,Dangchung!Z81)</f>
        <v>0</v>
      </c>
      <c r="AA81" s="241">
        <f>IF($E81=0,0,Dangchung!AA81)</f>
        <v>0</v>
      </c>
      <c r="AB81" s="241">
        <f>IF($E81=0,0,Dangchung!AB81)</f>
        <v>0</v>
      </c>
      <c r="AC81" s="241">
        <f>IF($E81=0,0,Dangchung!AC81)</f>
        <v>0</v>
      </c>
      <c r="AD81" s="241">
        <f>IF($E81=0,0,Dangchung!AD81)</f>
        <v>0</v>
      </c>
      <c r="AE81" s="241">
        <f>IF($E81=0,0,Dangchung!AE81)</f>
        <v>0</v>
      </c>
      <c r="AF81" s="241">
        <f>IF($E81=0,0,Dangchung!AF81)</f>
        <v>0</v>
      </c>
      <c r="AG81" s="241">
        <f>IF($E81=0,0,Dangchung!AG81)</f>
        <v>0</v>
      </c>
      <c r="AH81" s="241">
        <f>IF($E81=0,0,Dangchung!AH81)</f>
        <v>0</v>
      </c>
      <c r="AI81" s="241">
        <f>IF($E81=0,0,Dangchung!AI81)</f>
        <v>0</v>
      </c>
      <c r="AJ81" s="241">
        <f>IF($E81=0,0,Dangchung!AJ81)</f>
        <v>0</v>
      </c>
      <c r="AK81" s="241">
        <f>IF($E81=0,0,Dangchung!AK81)</f>
        <v>0</v>
      </c>
      <c r="AL81" s="212"/>
    </row>
    <row r="82" spans="1:38" s="118" customFormat="1" hidden="1" x14ac:dyDescent="0.25">
      <c r="A82" s="220"/>
      <c r="B82" s="128">
        <f>IF(E82=0,0,MAX($B$8:B81)+1)</f>
        <v>0</v>
      </c>
      <c r="C82" s="132">
        <f>Dangchung!C82</f>
        <v>9</v>
      </c>
      <c r="D82" s="162">
        <f>IF(Dangchung!D82&lt;&gt;0,0,0)</f>
        <v>0</v>
      </c>
      <c r="E82" s="128">
        <f>IF(Dangchung!D82&lt;&gt;0,0,Dangchung!E82)</f>
        <v>0</v>
      </c>
      <c r="F82" s="123">
        <f>IF($E82=0,0,Dangchung!F82)</f>
        <v>0</v>
      </c>
      <c r="G82" s="123">
        <f>IF($E82=0,0,Dangchung!G82)</f>
        <v>0</v>
      </c>
      <c r="H82" s="123">
        <f>IF($E82=0,0,Dangchung!H82)</f>
        <v>0</v>
      </c>
      <c r="I82" s="125">
        <f>IF($E82=0,0,Dangchung!I82)</f>
        <v>0</v>
      </c>
      <c r="J82" s="125">
        <f>IF($E82=0,0,Dangchung!J82)</f>
        <v>0</v>
      </c>
      <c r="K82" s="123">
        <f>IF($E82=0,0,Dangchung!K82)</f>
        <v>0</v>
      </c>
      <c r="L82" s="123">
        <f>IF($E82=0,0,Dangchung!L82)</f>
        <v>0</v>
      </c>
      <c r="M82" s="123">
        <f>IF($E82=0,0,Dangchung!M82)</f>
        <v>0</v>
      </c>
      <c r="N82" s="123">
        <f>IF($E82=0,0,Dangchung!N82)</f>
        <v>0</v>
      </c>
      <c r="O82" s="123">
        <f>IF($E82=0,0,Dangchung!O82)</f>
        <v>0</v>
      </c>
      <c r="P82" s="123">
        <f>IF($E82=0,0,Dangchung!P82)</f>
        <v>0</v>
      </c>
      <c r="Q82" s="123">
        <f>IF($E82=0,0,Dangchung!Q82)</f>
        <v>0</v>
      </c>
      <c r="R82" s="123">
        <f>IF($E82=0,0,Dangchung!R82)</f>
        <v>0</v>
      </c>
      <c r="S82" s="123">
        <f>IF($E82=0,0,Dangchung!S82)</f>
        <v>0</v>
      </c>
      <c r="T82" s="123">
        <f>IF($E82=0,0,Dangchung!T82)</f>
        <v>0</v>
      </c>
      <c r="U82" s="123">
        <f>IF($E82=0,0,Dangchung!U82)</f>
        <v>0</v>
      </c>
      <c r="V82" s="123">
        <f>IF($E82=0,0,Dangchung!V82)</f>
        <v>0</v>
      </c>
      <c r="W82" s="241">
        <f>IF($E82=0,0,Dangchung!W82)</f>
        <v>0</v>
      </c>
      <c r="X82" s="241">
        <f>IF($E82=0,0,Dangchung!X82)</f>
        <v>0</v>
      </c>
      <c r="Y82" s="241">
        <f>IF($E82=0,0,Dangchung!Y82)</f>
        <v>0</v>
      </c>
      <c r="Z82" s="241">
        <f>IF($E82=0,0,Dangchung!Z82)</f>
        <v>0</v>
      </c>
      <c r="AA82" s="241">
        <f>IF($E82=0,0,Dangchung!AA82)</f>
        <v>0</v>
      </c>
      <c r="AB82" s="241">
        <f>IF($E82=0,0,Dangchung!AB82)</f>
        <v>0</v>
      </c>
      <c r="AC82" s="241">
        <f>IF($E82=0,0,Dangchung!AC82)</f>
        <v>0</v>
      </c>
      <c r="AD82" s="241">
        <f>IF($E82=0,0,Dangchung!AD82)</f>
        <v>0</v>
      </c>
      <c r="AE82" s="241">
        <f>IF($E82=0,0,Dangchung!AE82)</f>
        <v>0</v>
      </c>
      <c r="AF82" s="241">
        <f>IF($E82=0,0,Dangchung!AF82)</f>
        <v>0</v>
      </c>
      <c r="AG82" s="241">
        <f>IF($E82=0,0,Dangchung!AG82)</f>
        <v>0</v>
      </c>
      <c r="AH82" s="241">
        <f>IF($E82=0,0,Dangchung!AH82)</f>
        <v>0</v>
      </c>
      <c r="AI82" s="241">
        <f>IF($E82=0,0,Dangchung!AI82)</f>
        <v>0</v>
      </c>
      <c r="AJ82" s="241">
        <f>IF($E82=0,0,Dangchung!AJ82)</f>
        <v>0</v>
      </c>
      <c r="AK82" s="241">
        <f>IF($E82=0,0,Dangchung!AK82)</f>
        <v>0</v>
      </c>
      <c r="AL82" s="212"/>
    </row>
    <row r="83" spans="1:38" s="118" customFormat="1" hidden="1" x14ac:dyDescent="0.25">
      <c r="A83" s="220"/>
      <c r="B83" s="128">
        <f>IF(E83=0,0,MAX($B$8:B82)+1)</f>
        <v>0</v>
      </c>
      <c r="C83" s="143">
        <f>Dangchung!C83</f>
        <v>10</v>
      </c>
      <c r="D83" s="162">
        <f>IF(Dangchung!D83&lt;&gt;0,0,0)</f>
        <v>0</v>
      </c>
      <c r="E83" s="142">
        <f>IF(Dangchung!D83&lt;&gt;0,0,Dangchung!E83)</f>
        <v>0</v>
      </c>
      <c r="F83" s="145">
        <f>IF($E83=0,0,Dangchung!F83)</f>
        <v>0</v>
      </c>
      <c r="G83" s="145">
        <f>IF($E83=0,0,Dangchung!G83)</f>
        <v>0</v>
      </c>
      <c r="H83" s="145">
        <f>IF($E83=0,0,Dangchung!H83)</f>
        <v>0</v>
      </c>
      <c r="I83" s="147">
        <f>IF($E83=0,0,Dangchung!I83)</f>
        <v>0</v>
      </c>
      <c r="J83" s="147">
        <f>IF($E83=0,0,Dangchung!J83)</f>
        <v>0</v>
      </c>
      <c r="K83" s="145">
        <f>IF($E83=0,0,Dangchung!K83)</f>
        <v>0</v>
      </c>
      <c r="L83" s="145">
        <f>IF($E83=0,0,Dangchung!L83)</f>
        <v>0</v>
      </c>
      <c r="M83" s="145">
        <f>IF($E83=0,0,Dangchung!M83)</f>
        <v>0</v>
      </c>
      <c r="N83" s="145">
        <f>IF($E83=0,0,Dangchung!N83)</f>
        <v>0</v>
      </c>
      <c r="O83" s="145">
        <f>IF($E83=0,0,Dangchung!O83)</f>
        <v>0</v>
      </c>
      <c r="P83" s="145">
        <f>IF($E83=0,0,Dangchung!P83)</f>
        <v>0</v>
      </c>
      <c r="Q83" s="145">
        <f>IF($E83=0,0,Dangchung!Q83)</f>
        <v>0</v>
      </c>
      <c r="R83" s="145">
        <f>IF($E83=0,0,Dangchung!R83)</f>
        <v>0</v>
      </c>
      <c r="S83" s="145">
        <f>IF($E83=0,0,Dangchung!S83)</f>
        <v>0</v>
      </c>
      <c r="T83" s="145">
        <f>IF($E83=0,0,Dangchung!T83)</f>
        <v>0</v>
      </c>
      <c r="U83" s="145">
        <f>IF($E83=0,0,Dangchung!U83)</f>
        <v>0</v>
      </c>
      <c r="V83" s="145">
        <f>IF($E83=0,0,Dangchung!V83)</f>
        <v>0</v>
      </c>
      <c r="W83" s="242">
        <f>IF($E83=0,0,Dangchung!W83)</f>
        <v>0</v>
      </c>
      <c r="X83" s="242">
        <f>IF($E83=0,0,Dangchung!X83)</f>
        <v>0</v>
      </c>
      <c r="Y83" s="242">
        <f>IF($E83=0,0,Dangchung!Y83)</f>
        <v>0</v>
      </c>
      <c r="Z83" s="242">
        <f>IF($E83=0,0,Dangchung!Z83)</f>
        <v>0</v>
      </c>
      <c r="AA83" s="242">
        <f>IF($E83=0,0,Dangchung!AA83)</f>
        <v>0</v>
      </c>
      <c r="AB83" s="242">
        <f>IF($E83=0,0,Dangchung!AB83)</f>
        <v>0</v>
      </c>
      <c r="AC83" s="242">
        <f>IF($E83=0,0,Dangchung!AC83)</f>
        <v>0</v>
      </c>
      <c r="AD83" s="242">
        <f>IF($E83=0,0,Dangchung!AD83)</f>
        <v>0</v>
      </c>
      <c r="AE83" s="242">
        <f>IF($E83=0,0,Dangchung!AE83)</f>
        <v>0</v>
      </c>
      <c r="AF83" s="242">
        <f>IF($E83=0,0,Dangchung!AF83)</f>
        <v>0</v>
      </c>
      <c r="AG83" s="242">
        <f>IF($E83=0,0,Dangchung!AG83)</f>
        <v>0</v>
      </c>
      <c r="AH83" s="242">
        <f>IF($E83=0,0,Dangchung!AH83)</f>
        <v>0</v>
      </c>
      <c r="AI83" s="242">
        <f>IF($E83=0,0,Dangchung!AI83)</f>
        <v>0</v>
      </c>
      <c r="AJ83" s="242">
        <f>IF($E83=0,0,Dangchung!AJ83)</f>
        <v>0</v>
      </c>
      <c r="AK83" s="242">
        <f>IF($E83=0,0,Dangchung!AK83)</f>
        <v>0</v>
      </c>
      <c r="AL83" s="212"/>
    </row>
    <row r="84" spans="1:38" hidden="1" x14ac:dyDescent="0.25">
      <c r="A84" s="220"/>
      <c r="B84" s="128">
        <f>IF(E84=0,0,MAX($B$8:B83)+1)</f>
        <v>0</v>
      </c>
      <c r="C84" s="152">
        <f>Dangchung!C84</f>
        <v>0</v>
      </c>
      <c r="D84" s="162">
        <f>IF(Dangchung!D84&lt;&gt;0,0,0)</f>
        <v>0</v>
      </c>
      <c r="E84" s="151">
        <f>IF(Dangchung!D84&lt;&gt;0,0,Dangchung!E84)</f>
        <v>0</v>
      </c>
      <c r="F84" s="123">
        <f>IF($E84=0,0,Dangchung!F84)</f>
        <v>0</v>
      </c>
      <c r="G84" s="123">
        <f>IF($E84=0,0,Dangchung!G84)</f>
        <v>0</v>
      </c>
      <c r="H84" s="123">
        <f>IF($E84=0,0,Dangchung!H84)</f>
        <v>0</v>
      </c>
      <c r="I84" s="185">
        <f>IF($E84=0,0,Dangchung!I84)</f>
        <v>0</v>
      </c>
      <c r="J84" s="185">
        <f>IF($E84=0,0,Dangchung!J84)</f>
        <v>0</v>
      </c>
      <c r="K84" s="123">
        <f>IF($E84=0,0,Dangchung!K84)</f>
        <v>0</v>
      </c>
      <c r="L84" s="123">
        <f>IF($E84=0,0,Dangchung!L84)</f>
        <v>0</v>
      </c>
      <c r="M84" s="123">
        <f>IF($E84=0,0,Dangchung!M84)</f>
        <v>0</v>
      </c>
      <c r="N84" s="123">
        <f>IF($E84=0,0,Dangchung!N84)</f>
        <v>0</v>
      </c>
      <c r="O84" s="123">
        <f>IF($E84=0,0,Dangchung!O84)</f>
        <v>0</v>
      </c>
      <c r="P84" s="123">
        <f>IF($E84=0,0,Dangchung!P84)</f>
        <v>0</v>
      </c>
      <c r="Q84" s="123">
        <f>IF($E84=0,0,Dangchung!Q84)</f>
        <v>0</v>
      </c>
      <c r="R84" s="123">
        <f>IF($E84=0,0,Dangchung!R84)</f>
        <v>0</v>
      </c>
      <c r="S84" s="123">
        <f>IF($E84=0,0,Dangchung!S84)</f>
        <v>0</v>
      </c>
      <c r="T84" s="123">
        <f>IF($E84=0,0,Dangchung!T84)</f>
        <v>0</v>
      </c>
      <c r="U84" s="123">
        <f>IF($E84=0,0,Dangchung!U84)</f>
        <v>0</v>
      </c>
      <c r="V84" s="123">
        <f>IF($E84=0,0,Dangchung!V84)</f>
        <v>0</v>
      </c>
      <c r="W84" s="241">
        <f>IF($E84=0,0,Dangchung!W84)</f>
        <v>0</v>
      </c>
      <c r="X84" s="241">
        <f>IF($E84=0,0,Dangchung!X84)</f>
        <v>0</v>
      </c>
      <c r="Y84" s="241">
        <f>IF($E84=0,0,Dangchung!Y84)</f>
        <v>0</v>
      </c>
      <c r="Z84" s="241">
        <f>IF($E84=0,0,Dangchung!Z84)</f>
        <v>0</v>
      </c>
      <c r="AA84" s="241">
        <f>IF($E84=0,0,Dangchung!AA84)</f>
        <v>0</v>
      </c>
      <c r="AB84" s="241">
        <f>IF($E84=0,0,Dangchung!AB84)</f>
        <v>0</v>
      </c>
      <c r="AC84" s="241">
        <f>IF($E84=0,0,Dangchung!AC84)</f>
        <v>0</v>
      </c>
      <c r="AD84" s="241">
        <f>IF($E84=0,0,Dangchung!AD84)</f>
        <v>0</v>
      </c>
      <c r="AE84" s="241">
        <f>IF($E84=0,0,Dangchung!AE84)</f>
        <v>0</v>
      </c>
      <c r="AF84" s="241">
        <f>IF($E84=0,0,Dangchung!AF84)</f>
        <v>0</v>
      </c>
      <c r="AG84" s="241">
        <f>IF($E84=0,0,Dangchung!AG84)</f>
        <v>0</v>
      </c>
      <c r="AH84" s="241">
        <f>IF($E84=0,0,Dangchung!AH84)</f>
        <v>0</v>
      </c>
      <c r="AI84" s="241">
        <f>IF($E84=0,0,Dangchung!AI84)</f>
        <v>0</v>
      </c>
      <c r="AJ84" s="241">
        <f>IF($E84=0,0,Dangchung!AJ84)</f>
        <v>0</v>
      </c>
      <c r="AK84" s="241">
        <f>IF($E84=0,0,Dangchung!AK84)</f>
        <v>0</v>
      </c>
      <c r="AL84" s="212"/>
    </row>
    <row r="85" spans="1:38" hidden="1" x14ac:dyDescent="0.25">
      <c r="A85" s="220"/>
      <c r="B85" s="128">
        <f>IF(E85=0,0,MAX($B$8:B84)+1)</f>
        <v>0</v>
      </c>
      <c r="C85" s="163">
        <f>Dangchung!C85</f>
        <v>0</v>
      </c>
      <c r="D85" s="162">
        <f>IF(Dangchung!D85&lt;&gt;0,0,0)</f>
        <v>0</v>
      </c>
      <c r="E85" s="162">
        <f>IF(Dangchung!D85&lt;&gt;0,0,Dangchung!E85)</f>
        <v>0</v>
      </c>
      <c r="F85" s="123">
        <f>IF($E85=0,0,Dangchung!F85)</f>
        <v>0</v>
      </c>
      <c r="G85" s="123">
        <f>IF($E85=0,0,Dangchung!G85)</f>
        <v>0</v>
      </c>
      <c r="H85" s="123">
        <f>IF($E85=0,0,Dangchung!H85)</f>
        <v>0</v>
      </c>
      <c r="I85" s="125">
        <f>IF($E85=0,0,Dangchung!I85)</f>
        <v>0</v>
      </c>
      <c r="J85" s="125">
        <f>IF($E85=0,0,Dangchung!J85)</f>
        <v>0</v>
      </c>
      <c r="K85" s="123">
        <f>IF($E85=0,0,Dangchung!K85)</f>
        <v>0</v>
      </c>
      <c r="L85" s="123">
        <f>IF($E85=0,0,Dangchung!L85)</f>
        <v>0</v>
      </c>
      <c r="M85" s="123">
        <f>IF($E85=0,0,Dangchung!M85)</f>
        <v>0</v>
      </c>
      <c r="N85" s="123">
        <f>IF($E85=0,0,Dangchung!N85)</f>
        <v>0</v>
      </c>
      <c r="O85" s="123">
        <f>IF($E85=0,0,Dangchung!O85)</f>
        <v>0</v>
      </c>
      <c r="P85" s="123">
        <f>IF($E85=0,0,Dangchung!P85)</f>
        <v>0</v>
      </c>
      <c r="Q85" s="123">
        <f>IF($E85=0,0,Dangchung!Q85)</f>
        <v>0</v>
      </c>
      <c r="R85" s="123">
        <f>IF($E85=0,0,Dangchung!R85)</f>
        <v>0</v>
      </c>
      <c r="S85" s="123">
        <f>IF($E85=0,0,Dangchung!S85)</f>
        <v>0</v>
      </c>
      <c r="T85" s="123">
        <f>IF($E85=0,0,Dangchung!T85)</f>
        <v>0</v>
      </c>
      <c r="U85" s="123">
        <f>IF($E85=0,0,Dangchung!U85)</f>
        <v>0</v>
      </c>
      <c r="V85" s="123">
        <f>IF($E85=0,0,Dangchung!V85)</f>
        <v>0</v>
      </c>
      <c r="W85" s="241">
        <f>IF($E85=0,0,Dangchung!W85)</f>
        <v>0</v>
      </c>
      <c r="X85" s="241">
        <f>IF($E85=0,0,Dangchung!X85)</f>
        <v>0</v>
      </c>
      <c r="Y85" s="241">
        <f>IF($E85=0,0,Dangchung!Y85)</f>
        <v>0</v>
      </c>
      <c r="Z85" s="241">
        <f>IF($E85=0,0,Dangchung!Z85)</f>
        <v>0</v>
      </c>
      <c r="AA85" s="241">
        <f>IF($E85=0,0,Dangchung!AA85)</f>
        <v>0</v>
      </c>
      <c r="AB85" s="241">
        <f>IF($E85=0,0,Dangchung!AB85)</f>
        <v>0</v>
      </c>
      <c r="AC85" s="241">
        <f>IF($E85=0,0,Dangchung!AC85)</f>
        <v>0</v>
      </c>
      <c r="AD85" s="241">
        <f>IF($E85=0,0,Dangchung!AD85)</f>
        <v>0</v>
      </c>
      <c r="AE85" s="241">
        <f>IF($E85=0,0,Dangchung!AE85)</f>
        <v>0</v>
      </c>
      <c r="AF85" s="241">
        <f>IF($E85=0,0,Dangchung!AF85)</f>
        <v>0</v>
      </c>
      <c r="AG85" s="241">
        <f>IF($E85=0,0,Dangchung!AG85)</f>
        <v>0</v>
      </c>
      <c r="AH85" s="241">
        <f>IF($E85=0,0,Dangchung!AH85)</f>
        <v>0</v>
      </c>
      <c r="AI85" s="241">
        <f>IF($E85=0,0,Dangchung!AI85)</f>
        <v>0</v>
      </c>
      <c r="AJ85" s="241">
        <f>IF($E85=0,0,Dangchung!AJ85)</f>
        <v>0</v>
      </c>
      <c r="AK85" s="241">
        <f>IF($E85=0,0,Dangchung!AK85)</f>
        <v>0</v>
      </c>
      <c r="AL85" s="212"/>
    </row>
    <row r="86" spans="1:38" x14ac:dyDescent="0.25">
      <c r="A86" s="220"/>
      <c r="B86" s="128">
        <f>IF(E86=0,0,MAX($B$8:B85)+1)</f>
        <v>37</v>
      </c>
      <c r="C86" s="163">
        <f>Dangchung!C86</f>
        <v>1</v>
      </c>
      <c r="D86" s="162">
        <f>IF(Dangchung!D86&lt;&gt;0,0,0)</f>
        <v>0</v>
      </c>
      <c r="E86" s="162" t="str">
        <f>IF(Dangchung!D86&lt;&gt;0,0,Dangchung!E86)</f>
        <v>Võ Thanh Cần</v>
      </c>
      <c r="F86" s="123">
        <f>IF($E86=0,0,Dangchung!F86)</f>
        <v>0</v>
      </c>
      <c r="G86" s="123" t="str">
        <f>IF($E86=0,0,Dangchung!G86)</f>
        <v>19/10/1981</v>
      </c>
      <c r="H86" s="123">
        <f>IF($E86=0,0,Dangchung!H86)</f>
        <v>0</v>
      </c>
      <c r="I86" s="125">
        <f>IF($E86=0,0,Dangchung!I86)</f>
        <v>1981</v>
      </c>
      <c r="J86" s="125">
        <f>IF($E86=0,0,Dangchung!J86)</f>
        <v>0</v>
      </c>
      <c r="K86" s="123" t="str">
        <f>IF($E86=0,0,Dangchung!K86)</f>
        <v>GV</v>
      </c>
      <c r="L86" s="123">
        <f>IF($E86=0,0,Dangchung!L86)</f>
        <v>0</v>
      </c>
      <c r="M86" s="123" t="str">
        <f>IF($E86=0,0,Dangchung!M86)</f>
        <v>Hiếu Nghĩa</v>
      </c>
      <c r="N86" s="123" t="str">
        <f>IF($E86=0,0,Dangchung!N86)</f>
        <v>Nông dân</v>
      </c>
      <c r="O86" s="123" t="str">
        <f>IF($E86=0,0,Dangchung!O86)</f>
        <v>Vĩnh Thạnh Trung-AG</v>
      </c>
      <c r="P86" s="123" t="str">
        <f>IF($E86=0,0,Dangchung!P86)</f>
        <v>Vĩnh Thạnh Trung-Châu Phú</v>
      </c>
      <c r="Q86" s="123" t="str">
        <f>IF($E86=0,0,Dangchung!Q86)</f>
        <v>Vĩnh Quới-VTT</v>
      </c>
      <c r="R86" s="123" t="str">
        <f>IF($E86=0,0,Dangchung!R86)</f>
        <v>PTTH/99/TB</v>
      </c>
      <c r="S86" s="123" t="str">
        <f>IF($E86=0,0,Dangchung!S86)</f>
        <v>CĐ3/TD/04/TB</v>
      </c>
      <c r="T86" s="123" t="str">
        <f>IF($E86=0,0,Dangchung!T86)</f>
        <v>ĐHCT/TD/08/Khá</v>
      </c>
      <c r="U86" s="123">
        <f>IF($E86=0,0,Dangchung!U86)</f>
        <v>0</v>
      </c>
      <c r="V86" s="123" t="str">
        <f>IF($E86=0,0,Dangchung!V86)</f>
        <v>ĐHCT</v>
      </c>
      <c r="W86" s="241">
        <f>IF($E86=0,0,Dangchung!W86)</f>
        <v>0</v>
      </c>
      <c r="X86" s="241">
        <f>IF($E86=0,0,Dangchung!X86)</f>
        <v>0</v>
      </c>
      <c r="Y86" s="241" t="str">
        <f>IF($E86=0,0,Dangchung!Y86)</f>
        <v>A/08/Khá</v>
      </c>
      <c r="Z86" s="241">
        <f>IF($E86=0,0,Dangchung!Z86)</f>
        <v>0</v>
      </c>
      <c r="AA86" s="241">
        <f>IF($E86=0,0,Dangchung!AA86)</f>
        <v>0</v>
      </c>
      <c r="AB86" s="241">
        <f>IF($E86=0,0,Dangchung!AB86)</f>
        <v>0</v>
      </c>
      <c r="AC86" s="241">
        <f>IF($E86=0,0,Dangchung!AC86)</f>
        <v>0</v>
      </c>
      <c r="AD86" s="241" t="str">
        <f>IF($E86=0,0,Dangchung!AD86)</f>
        <v>CN/15/Khá</v>
      </c>
      <c r="AE86" s="241">
        <f>IF($E86=0,0,Dangchung!AE86)</f>
        <v>351360733</v>
      </c>
      <c r="AF86" s="241" t="str">
        <f>IF($E86=0,0,Dangchung!AF86)</f>
        <v>06/06/2014</v>
      </c>
      <c r="AG86" s="241" t="str">
        <f>IF($E86=0,0,Dangchung!AG86)</f>
        <v>15/09/2000</v>
      </c>
      <c r="AH86" s="241" t="str">
        <f>IF($E86=0,0,Dangchung!AH86)</f>
        <v>16/09/2011</v>
      </c>
      <c r="AI86" s="241" t="str">
        <f>IF($E86=0,0,Dangchung!AI86)</f>
        <v>31.047 726</v>
      </c>
      <c r="AJ86" s="241">
        <f>IF($E86=0,0,Dangchung!AJ86)</f>
        <v>2011</v>
      </c>
      <c r="AK86" s="241" t="str">
        <f>IF($E86=0,0,Dangchung!AK86)</f>
        <v>0939775370</v>
      </c>
      <c r="AL86" s="212"/>
    </row>
    <row r="87" spans="1:38" x14ac:dyDescent="0.25">
      <c r="A87" s="220"/>
      <c r="B87" s="128">
        <f>IF(E87=0,0,MAX($B$8:B86)+1)</f>
        <v>38</v>
      </c>
      <c r="C87" s="163">
        <f>Dangchung!C87</f>
        <v>2</v>
      </c>
      <c r="D87" s="162">
        <f>IF(Dangchung!D87&lt;&gt;0,0,0)</f>
        <v>0</v>
      </c>
      <c r="E87" s="162" t="str">
        <f>IF(Dangchung!D87&lt;&gt;0,0,Dangchung!E87)</f>
        <v>Lê Hoàng Sơn</v>
      </c>
      <c r="F87" s="123">
        <f>IF($E87=0,0,Dangchung!F87)</f>
        <v>0</v>
      </c>
      <c r="G87" s="123" t="str">
        <f>IF($E87=0,0,Dangchung!G87)</f>
        <v>05/04/1979</v>
      </c>
      <c r="H87" s="123">
        <f>IF($E87=0,0,Dangchung!H87)</f>
        <v>0</v>
      </c>
      <c r="I87" s="125">
        <f>IF($E87=0,0,Dangchung!I87)</f>
        <v>1979</v>
      </c>
      <c r="J87" s="125">
        <f>IF($E87=0,0,Dangchung!J87)</f>
        <v>0</v>
      </c>
      <c r="K87" s="123" t="str">
        <f>IF($E87=0,0,Dangchung!K87)</f>
        <v>GV</v>
      </c>
      <c r="L87" s="123">
        <f>IF($E87=0,0,Dangchung!L87)</f>
        <v>0</v>
      </c>
      <c r="M87" s="123" t="str">
        <f>IF($E87=0,0,Dangchung!M87)</f>
        <v>Phật</v>
      </c>
      <c r="N87" s="123" t="str">
        <f>IF($E87=0,0,Dangchung!N87)</f>
        <v>Nông dân</v>
      </c>
      <c r="O87" s="123" t="str">
        <f>IF($E87=0,0,Dangchung!O87)</f>
        <v>Cái Dầu-AG</v>
      </c>
      <c r="P87" s="123" t="str">
        <f>IF($E87=0,0,Dangchung!P87)</f>
        <v>Cái Dầu-Châu Phú</v>
      </c>
      <c r="Q87" s="123" t="str">
        <f>IF($E87=0,0,Dangchung!Q87)</f>
        <v>3 Vĩnh Phúc-Cái Dầu</v>
      </c>
      <c r="R87" s="123" t="str">
        <f>IF($E87=0,0,Dangchung!R87)</f>
        <v>PTTH/97/TB</v>
      </c>
      <c r="S87" s="123" t="str">
        <f>IF($E87=0,0,Dangchung!S87)</f>
        <v>CĐ3/TD/00/Khá</v>
      </c>
      <c r="T87" s="123" t="str">
        <f>IF($E87=0,0,Dangchung!T87)</f>
        <v>ĐHCT/TD/09/Khá</v>
      </c>
      <c r="U87" s="123">
        <f>IF($E87=0,0,Dangchung!U87)</f>
        <v>0</v>
      </c>
      <c r="V87" s="123" t="str">
        <f>IF($E87=0,0,Dangchung!V87)</f>
        <v>ĐHCT</v>
      </c>
      <c r="W87" s="241">
        <f>IF($E87=0,0,Dangchung!W87)</f>
        <v>0</v>
      </c>
      <c r="X87" s="241" t="str">
        <f>IF($E87=0,0,Dangchung!X87)</f>
        <v>SC/18</v>
      </c>
      <c r="Y87" s="241" t="str">
        <f>IF($E87=0,0,Dangchung!Y87)</f>
        <v>A/08/Khá</v>
      </c>
      <c r="Z87" s="241">
        <f>IF($E87=0,0,Dangchung!Z87)</f>
        <v>0</v>
      </c>
      <c r="AA87" s="241">
        <f>IF($E87=0,0,Dangchung!AA87)</f>
        <v>0</v>
      </c>
      <c r="AB87" s="241">
        <f>IF($E87=0,0,Dangchung!AB87)</f>
        <v>0</v>
      </c>
      <c r="AC87" s="241">
        <f>IF($E87=0,0,Dangchung!AC87)</f>
        <v>0</v>
      </c>
      <c r="AD87" s="241" t="str">
        <f>IF($E87=0,0,Dangchung!AD87)</f>
        <v>CN/06/TB</v>
      </c>
      <c r="AE87" s="241">
        <f>IF($E87=0,0,Dangchung!AE87)</f>
        <v>351310097</v>
      </c>
      <c r="AF87" s="241" t="str">
        <f>IF($E87=0,0,Dangchung!AF87)</f>
        <v>15/07/2009</v>
      </c>
      <c r="AG87" s="241" t="str">
        <f>IF($E87=0,0,Dangchung!AG87)</f>
        <v>01/09/1998</v>
      </c>
      <c r="AH87" s="241" t="str">
        <f>IF($E87=0,0,Dangchung!AH87)</f>
        <v>27/12/2003</v>
      </c>
      <c r="AI87" s="241" t="str">
        <f>IF($E87=0,0,Dangchung!AI87)</f>
        <v>31.026 216</v>
      </c>
      <c r="AJ87" s="241">
        <f>IF($E87=0,0,Dangchung!AJ87)</f>
        <v>2003</v>
      </c>
      <c r="AK87" s="241">
        <f>IF($E87=0,0,Dangchung!AK87)</f>
        <v>0</v>
      </c>
      <c r="AL87" s="212"/>
    </row>
    <row r="88" spans="1:38" x14ac:dyDescent="0.25">
      <c r="A88" s="220"/>
      <c r="B88" s="128">
        <f>IF(E88=0,0,MAX($B$8:B87)+1)</f>
        <v>39</v>
      </c>
      <c r="C88" s="163">
        <f>Dangchung!C88</f>
        <v>3</v>
      </c>
      <c r="D88" s="162">
        <f>IF(Dangchung!D88&lt;&gt;0,0,0)</f>
        <v>0</v>
      </c>
      <c r="E88" s="162" t="str">
        <f>IF(Dangchung!D88&lt;&gt;0,0,Dangchung!E88)</f>
        <v>Huỳnh Thảo Bích</v>
      </c>
      <c r="F88" s="123" t="str">
        <f>IF($E88=0,0,Dangchung!F88)</f>
        <v>x</v>
      </c>
      <c r="G88" s="123">
        <f>IF($E88=0,0,Dangchung!G88)</f>
        <v>0</v>
      </c>
      <c r="H88" s="123" t="str">
        <f>IF($E88=0,0,Dangchung!H88)</f>
        <v>09/09/1979</v>
      </c>
      <c r="I88" s="125">
        <f>IF($E88=0,0,Dangchung!I88)</f>
        <v>0</v>
      </c>
      <c r="J88" s="125">
        <f>IF($E88=0,0,Dangchung!J88)</f>
        <v>1979</v>
      </c>
      <c r="K88" s="123" t="str">
        <f>IF($E88=0,0,Dangchung!K88)</f>
        <v>GV</v>
      </c>
      <c r="L88" s="123">
        <f>IF($E88=0,0,Dangchung!L88)</f>
        <v>0</v>
      </c>
      <c r="M88" s="123" t="str">
        <f>IF($E88=0,0,Dangchung!M88)</f>
        <v>Phật</v>
      </c>
      <c r="N88" s="123" t="str">
        <f>IF($E88=0,0,Dangchung!N88)</f>
        <v>Viên chức</v>
      </c>
      <c r="O88" s="123" t="str">
        <f>IF($E88=0,0,Dangchung!O88)</f>
        <v>Mỹ Đức-An Giang</v>
      </c>
      <c r="P88" s="123" t="str">
        <f>IF($E88=0,0,Dangchung!P88)</f>
        <v>Mỹ Đức-Châu Phú</v>
      </c>
      <c r="Q88" s="123" t="str">
        <f>IF($E88=0,0,Dangchung!Q88)</f>
        <v>237/5 Mỹ Thiện-Mỹ Đức</v>
      </c>
      <c r="R88" s="123" t="str">
        <f>IF($E88=0,0,Dangchung!R88)</f>
        <v>PTTH/99/TB</v>
      </c>
      <c r="S88" s="123" t="str">
        <f>IF($E88=0,0,Dangchung!S88)</f>
        <v>CĐ3/Nhạc/02/Khá</v>
      </c>
      <c r="T88" s="123" t="str">
        <f>IF($E88=0,0,Dangchung!T88)</f>
        <v>ĐHTC/Nhạc/16/Khá</v>
      </c>
      <c r="U88" s="123">
        <f>IF($E88=0,0,Dangchung!U88)</f>
        <v>0</v>
      </c>
      <c r="V88" s="123" t="str">
        <f>IF($E88=0,0,Dangchung!V88)</f>
        <v>ĐHTC</v>
      </c>
      <c r="W88" s="241">
        <f>IF($E88=0,0,Dangchung!W88)</f>
        <v>0</v>
      </c>
      <c r="X88" s="241" t="str">
        <f>IF($E88=0,0,Dangchung!X88)</f>
        <v>SC/18/G</v>
      </c>
      <c r="Y88" s="241" t="str">
        <f>IF($E88=0,0,Dangchung!Y88)</f>
        <v>A/08/Giỏi</v>
      </c>
      <c r="Z88" s="241" t="str">
        <f>IF($E88=0,0,Dangchung!Z88)</f>
        <v>B/Anh/15/TB</v>
      </c>
      <c r="AA88" s="241">
        <f>IF($E88=0,0,Dangchung!AA88)</f>
        <v>0</v>
      </c>
      <c r="AB88" s="241">
        <f>IF($E88=0,0,Dangchung!AB88)</f>
        <v>0</v>
      </c>
      <c r="AC88" s="241">
        <f>IF($E88=0,0,Dangchung!AC88)</f>
        <v>0</v>
      </c>
      <c r="AD88" s="241" t="str">
        <f>IF($E88=0,0,Dangchung!AD88)</f>
        <v>CN/07/Khá</v>
      </c>
      <c r="AE88" s="241">
        <f>IF($E88=0,0,Dangchung!AE88)</f>
        <v>351417482</v>
      </c>
      <c r="AF88" s="241" t="str">
        <f>IF($E88=0,0,Dangchung!AF88)</f>
        <v>12/03/2012</v>
      </c>
      <c r="AG88" s="241" t="str">
        <f>IF($E88=0,0,Dangchung!AG88)</f>
        <v>01/09/2002</v>
      </c>
      <c r="AH88" s="241" t="str">
        <f>IF($E88=0,0,Dangchung!AH88)</f>
        <v>24/08/2013</v>
      </c>
      <c r="AI88" s="241" t="str">
        <f>IF($E88=0,0,Dangchung!AI88)</f>
        <v>31.054 653</v>
      </c>
      <c r="AJ88" s="241">
        <f>IF($E88=0,0,Dangchung!AJ88)</f>
        <v>2013</v>
      </c>
      <c r="AK88" s="241" t="str">
        <f>IF($E88=0,0,Dangchung!AK88)</f>
        <v>0795989567</v>
      </c>
      <c r="AL88" s="212"/>
    </row>
    <row r="89" spans="1:38" hidden="1" x14ac:dyDescent="0.25">
      <c r="A89" s="220"/>
      <c r="B89" s="128">
        <f>IF(E89=0,0,MAX($B$8:B88)+1)</f>
        <v>0</v>
      </c>
      <c r="C89" s="163">
        <f>Dangchung!C89</f>
        <v>0</v>
      </c>
      <c r="D89" s="162">
        <f>IF(Dangchung!D89&lt;&gt;0,0,0)</f>
        <v>0</v>
      </c>
      <c r="E89" s="162">
        <f>IF(Dangchung!D89&lt;&gt;0,0,Dangchung!E89)</f>
        <v>0</v>
      </c>
      <c r="F89" s="123">
        <f>IF($E89=0,0,Dangchung!F89)</f>
        <v>0</v>
      </c>
      <c r="G89" s="123">
        <f>IF($E89=0,0,Dangchung!G89)</f>
        <v>0</v>
      </c>
      <c r="H89" s="123">
        <f>IF($E89=0,0,Dangchung!H89)</f>
        <v>0</v>
      </c>
      <c r="I89" s="125">
        <f>IF($E89=0,0,Dangchung!I89)</f>
        <v>0</v>
      </c>
      <c r="J89" s="125">
        <f>IF($E89=0,0,Dangchung!J89)</f>
        <v>0</v>
      </c>
      <c r="K89" s="123">
        <f>IF($E89=0,0,Dangchung!K89)</f>
        <v>0</v>
      </c>
      <c r="L89" s="123">
        <f>IF($E89=0,0,Dangchung!L89)</f>
        <v>0</v>
      </c>
      <c r="M89" s="123">
        <f>IF($E89=0,0,Dangchung!M89)</f>
        <v>0</v>
      </c>
      <c r="N89" s="123">
        <f>IF($E89=0,0,Dangchung!N89)</f>
        <v>0</v>
      </c>
      <c r="O89" s="123">
        <f>IF($E89=0,0,Dangchung!O89)</f>
        <v>0</v>
      </c>
      <c r="P89" s="123">
        <f>IF($E89=0,0,Dangchung!P89)</f>
        <v>0</v>
      </c>
      <c r="Q89" s="123">
        <f>IF($E89=0,0,Dangchung!Q89)</f>
        <v>0</v>
      </c>
      <c r="R89" s="123">
        <f>IF($E89=0,0,Dangchung!R89)</f>
        <v>0</v>
      </c>
      <c r="S89" s="123">
        <f>IF($E89=0,0,Dangchung!S89)</f>
        <v>0</v>
      </c>
      <c r="T89" s="123">
        <f>IF($E89=0,0,Dangchung!T89)</f>
        <v>0</v>
      </c>
      <c r="U89" s="123">
        <f>IF($E89=0,0,Dangchung!U89)</f>
        <v>0</v>
      </c>
      <c r="V89" s="123">
        <f>IF($E89=0,0,Dangchung!V89)</f>
        <v>0</v>
      </c>
      <c r="W89" s="241">
        <f>IF($E89=0,0,Dangchung!W89)</f>
        <v>0</v>
      </c>
      <c r="X89" s="241">
        <f>IF($E89=0,0,Dangchung!X89)</f>
        <v>0</v>
      </c>
      <c r="Y89" s="241">
        <f>IF($E89=0,0,Dangchung!Y89)</f>
        <v>0</v>
      </c>
      <c r="Z89" s="241">
        <f>IF($E89=0,0,Dangchung!Z89)</f>
        <v>0</v>
      </c>
      <c r="AA89" s="241">
        <f>IF($E89=0,0,Dangchung!AA89)</f>
        <v>0</v>
      </c>
      <c r="AB89" s="241">
        <f>IF($E89=0,0,Dangchung!AB89)</f>
        <v>0</v>
      </c>
      <c r="AC89" s="241">
        <f>IF($E89=0,0,Dangchung!AC89)</f>
        <v>0</v>
      </c>
      <c r="AD89" s="241">
        <f>IF($E89=0,0,Dangchung!AD89)</f>
        <v>0</v>
      </c>
      <c r="AE89" s="241">
        <f>IF($E89=0,0,Dangchung!AE89)</f>
        <v>0</v>
      </c>
      <c r="AF89" s="241">
        <f>IF($E89=0,0,Dangchung!AF89)</f>
        <v>0</v>
      </c>
      <c r="AG89" s="241">
        <f>IF($E89=0,0,Dangchung!AG89)</f>
        <v>0</v>
      </c>
      <c r="AH89" s="241">
        <f>IF($E89=0,0,Dangchung!AH89)</f>
        <v>0</v>
      </c>
      <c r="AI89" s="241">
        <f>IF($E89=0,0,Dangchung!AI89)</f>
        <v>0</v>
      </c>
      <c r="AJ89" s="241">
        <f>IF($E89=0,0,Dangchung!AJ89)</f>
        <v>0</v>
      </c>
      <c r="AK89" s="241">
        <f>IF($E89=0,0,Dangchung!AK89)</f>
        <v>0</v>
      </c>
      <c r="AL89" s="212"/>
    </row>
    <row r="90" spans="1:38" hidden="1" x14ac:dyDescent="0.25">
      <c r="A90" s="220"/>
      <c r="B90" s="128">
        <f>IF(E90=0,0,MAX($B$8:B89)+1)</f>
        <v>0</v>
      </c>
      <c r="C90" s="163">
        <f>Dangchung!C90</f>
        <v>0</v>
      </c>
      <c r="D90" s="162">
        <f>IF(Dangchung!D90&lt;&gt;0,0,0)</f>
        <v>0</v>
      </c>
      <c r="E90" s="162">
        <f>IF(Dangchung!D90&lt;&gt;0,0,Dangchung!E90)</f>
        <v>0</v>
      </c>
      <c r="F90" s="123">
        <f>IF($E90=0,0,Dangchung!F90)</f>
        <v>0</v>
      </c>
      <c r="G90" s="123">
        <f>IF($E90=0,0,Dangchung!G90)</f>
        <v>0</v>
      </c>
      <c r="H90" s="123">
        <f>IF($E90=0,0,Dangchung!H90)</f>
        <v>0</v>
      </c>
      <c r="I90" s="125">
        <f>IF($E90=0,0,Dangchung!I90)</f>
        <v>0</v>
      </c>
      <c r="J90" s="125">
        <f>IF($E90=0,0,Dangchung!J90)</f>
        <v>0</v>
      </c>
      <c r="K90" s="123">
        <f>IF($E90=0,0,Dangchung!K90)</f>
        <v>0</v>
      </c>
      <c r="L90" s="123">
        <f>IF($E90=0,0,Dangchung!L90)</f>
        <v>0</v>
      </c>
      <c r="M90" s="123">
        <f>IF($E90=0,0,Dangchung!M90)</f>
        <v>0</v>
      </c>
      <c r="N90" s="123">
        <f>IF($E90=0,0,Dangchung!N90)</f>
        <v>0</v>
      </c>
      <c r="O90" s="123">
        <f>IF($E90=0,0,Dangchung!O90)</f>
        <v>0</v>
      </c>
      <c r="P90" s="123">
        <f>IF($E90=0,0,Dangchung!P90)</f>
        <v>0</v>
      </c>
      <c r="Q90" s="123">
        <f>IF($E90=0,0,Dangchung!Q90)</f>
        <v>0</v>
      </c>
      <c r="R90" s="123">
        <f>IF($E90=0,0,Dangchung!R90)</f>
        <v>0</v>
      </c>
      <c r="S90" s="123">
        <f>IF($E90=0,0,Dangchung!S90)</f>
        <v>0</v>
      </c>
      <c r="T90" s="123">
        <f>IF($E90=0,0,Dangchung!T90)</f>
        <v>0</v>
      </c>
      <c r="U90" s="123">
        <f>IF($E90=0,0,Dangchung!U90)</f>
        <v>0</v>
      </c>
      <c r="V90" s="123">
        <f>IF($E90=0,0,Dangchung!V90)</f>
        <v>0</v>
      </c>
      <c r="W90" s="241">
        <f>IF($E90=0,0,Dangchung!W90)</f>
        <v>0</v>
      </c>
      <c r="X90" s="241">
        <f>IF($E90=0,0,Dangchung!X90)</f>
        <v>0</v>
      </c>
      <c r="Y90" s="241">
        <f>IF($E90=0,0,Dangchung!Y90)</f>
        <v>0</v>
      </c>
      <c r="Z90" s="241">
        <f>IF($E90=0,0,Dangchung!Z90)</f>
        <v>0</v>
      </c>
      <c r="AA90" s="241">
        <f>IF($E90=0,0,Dangchung!AA90)</f>
        <v>0</v>
      </c>
      <c r="AB90" s="241">
        <f>IF($E90=0,0,Dangchung!AB90)</f>
        <v>0</v>
      </c>
      <c r="AC90" s="241">
        <f>IF($E90=0,0,Dangchung!AC90)</f>
        <v>0</v>
      </c>
      <c r="AD90" s="241">
        <f>IF($E90=0,0,Dangchung!AD90)</f>
        <v>0</v>
      </c>
      <c r="AE90" s="241">
        <f>IF($E90=0,0,Dangchung!AE90)</f>
        <v>0</v>
      </c>
      <c r="AF90" s="241">
        <f>IF($E90=0,0,Dangchung!AF90)</f>
        <v>0</v>
      </c>
      <c r="AG90" s="241">
        <f>IF($E90=0,0,Dangchung!AG90)</f>
        <v>0</v>
      </c>
      <c r="AH90" s="241">
        <f>IF($E90=0,0,Dangchung!AH90)</f>
        <v>0</v>
      </c>
      <c r="AI90" s="241">
        <f>IF($E90=0,0,Dangchung!AI90)</f>
        <v>0</v>
      </c>
      <c r="AJ90" s="241">
        <f>IF($E90=0,0,Dangchung!AJ90)</f>
        <v>0</v>
      </c>
      <c r="AK90" s="241">
        <f>IF($E90=0,0,Dangchung!AK90)</f>
        <v>0</v>
      </c>
      <c r="AL90" s="212"/>
    </row>
    <row r="91" spans="1:38" hidden="1" x14ac:dyDescent="0.25">
      <c r="A91" s="220"/>
      <c r="B91" s="128">
        <f>IF(E91=0,0,MAX($B$8:B90)+1)</f>
        <v>0</v>
      </c>
      <c r="C91" s="174">
        <f>Dangchung!C91</f>
        <v>0</v>
      </c>
      <c r="D91" s="162">
        <f>IF(Dangchung!D91&lt;&gt;0,0,0)</f>
        <v>0</v>
      </c>
      <c r="E91" s="173">
        <f>IF(Dangchung!D91&lt;&gt;0,0,Dangchung!E91)</f>
        <v>0</v>
      </c>
      <c r="F91" s="145">
        <f>IF($E91=0,0,Dangchung!F91)</f>
        <v>0</v>
      </c>
      <c r="G91" s="145">
        <f>IF($E91=0,0,Dangchung!G91)</f>
        <v>0</v>
      </c>
      <c r="H91" s="145">
        <f>IF($E91=0,0,Dangchung!H91)</f>
        <v>0</v>
      </c>
      <c r="I91" s="147">
        <f>IF($E91=0,0,Dangchung!I91)</f>
        <v>0</v>
      </c>
      <c r="J91" s="147">
        <f>IF($E91=0,0,Dangchung!J91)</f>
        <v>0</v>
      </c>
      <c r="K91" s="145">
        <f>IF($E91=0,0,Dangchung!K91)</f>
        <v>0</v>
      </c>
      <c r="L91" s="145">
        <f>IF($E91=0,0,Dangchung!L91)</f>
        <v>0</v>
      </c>
      <c r="M91" s="145">
        <f>IF($E91=0,0,Dangchung!M91)</f>
        <v>0</v>
      </c>
      <c r="N91" s="145">
        <f>IF($E91=0,0,Dangchung!N91)</f>
        <v>0</v>
      </c>
      <c r="O91" s="145">
        <f>IF($E91=0,0,Dangchung!O91)</f>
        <v>0</v>
      </c>
      <c r="P91" s="145">
        <f>IF($E91=0,0,Dangchung!P91)</f>
        <v>0</v>
      </c>
      <c r="Q91" s="145">
        <f>IF($E91=0,0,Dangchung!Q91)</f>
        <v>0</v>
      </c>
      <c r="R91" s="145">
        <f>IF($E91=0,0,Dangchung!R91)</f>
        <v>0</v>
      </c>
      <c r="S91" s="145">
        <f>IF($E91=0,0,Dangchung!S91)</f>
        <v>0</v>
      </c>
      <c r="T91" s="145">
        <f>IF($E91=0,0,Dangchung!T91)</f>
        <v>0</v>
      </c>
      <c r="U91" s="145">
        <f>IF($E91=0,0,Dangchung!U91)</f>
        <v>0</v>
      </c>
      <c r="V91" s="145">
        <f>IF($E91=0,0,Dangchung!V91)</f>
        <v>0</v>
      </c>
      <c r="W91" s="242">
        <f>IF($E91=0,0,Dangchung!W91)</f>
        <v>0</v>
      </c>
      <c r="X91" s="242">
        <f>IF($E91=0,0,Dangchung!X91)</f>
        <v>0</v>
      </c>
      <c r="Y91" s="242">
        <f>IF($E91=0,0,Dangchung!Y91)</f>
        <v>0</v>
      </c>
      <c r="Z91" s="242">
        <f>IF($E91=0,0,Dangchung!Z91)</f>
        <v>0</v>
      </c>
      <c r="AA91" s="242">
        <f>IF($E91=0,0,Dangchung!AA91)</f>
        <v>0</v>
      </c>
      <c r="AB91" s="242">
        <f>IF($E91=0,0,Dangchung!AB91)</f>
        <v>0</v>
      </c>
      <c r="AC91" s="242">
        <f>IF($E91=0,0,Dangchung!AC91)</f>
        <v>0</v>
      </c>
      <c r="AD91" s="242">
        <f>IF($E91=0,0,Dangchung!AD91)</f>
        <v>0</v>
      </c>
      <c r="AE91" s="242">
        <f>IF($E91=0,0,Dangchung!AE91)</f>
        <v>0</v>
      </c>
      <c r="AF91" s="242">
        <f>IF($E91=0,0,Dangchung!AF91)</f>
        <v>0</v>
      </c>
      <c r="AG91" s="242">
        <f>IF($E91=0,0,Dangchung!AG91)</f>
        <v>0</v>
      </c>
      <c r="AH91" s="242">
        <f>IF($E91=0,0,Dangchung!AH91)</f>
        <v>0</v>
      </c>
      <c r="AI91" s="242">
        <f>IF($E91=0,0,Dangchung!AI91)</f>
        <v>0</v>
      </c>
      <c r="AJ91" s="242">
        <f>IF($E91=0,0,Dangchung!AJ91)</f>
        <v>0</v>
      </c>
      <c r="AK91" s="242">
        <f>IF($E91=0,0,Dangchung!AK91)</f>
        <v>0</v>
      </c>
      <c r="AL91" s="212"/>
    </row>
    <row r="92" spans="1:38" hidden="1" x14ac:dyDescent="0.25">
      <c r="A92" s="220"/>
      <c r="B92" s="128">
        <f>IF(E92=0,0,MAX($B$8:B91)+1)</f>
        <v>0</v>
      </c>
      <c r="C92" s="190">
        <f>Dangchung!C92</f>
        <v>0</v>
      </c>
      <c r="D92" s="162">
        <f>IF(Dangchung!D92&lt;&gt;0,0,0)</f>
        <v>0</v>
      </c>
      <c r="E92" s="151">
        <f>IF(Dangchung!D92&lt;&gt;0,0,Dangchung!E92)</f>
        <v>0</v>
      </c>
      <c r="F92" s="123">
        <f>IF($E92=0,0,Dangchung!F92)</f>
        <v>0</v>
      </c>
      <c r="G92" s="123">
        <f>IF($E92=0,0,Dangchung!G92)</f>
        <v>0</v>
      </c>
      <c r="H92" s="123">
        <f>IF($E92=0,0,Dangchung!H92)</f>
        <v>0</v>
      </c>
      <c r="I92" s="185">
        <f>IF($E92=0,0,Dangchung!I92)</f>
        <v>0</v>
      </c>
      <c r="J92" s="185">
        <f>IF($E92=0,0,Dangchung!J92)</f>
        <v>0</v>
      </c>
      <c r="K92" s="123">
        <f>IF($E92=0,0,Dangchung!K92)</f>
        <v>0</v>
      </c>
      <c r="L92" s="123">
        <f>IF($E92=0,0,Dangchung!L92)</f>
        <v>0</v>
      </c>
      <c r="M92" s="123">
        <f>IF($E92=0,0,Dangchung!M92)</f>
        <v>0</v>
      </c>
      <c r="N92" s="123">
        <f>IF($E92=0,0,Dangchung!N92)</f>
        <v>0</v>
      </c>
      <c r="O92" s="123">
        <f>IF($E92=0,0,Dangchung!O92)</f>
        <v>0</v>
      </c>
      <c r="P92" s="123">
        <f>IF($E92=0,0,Dangchung!P92)</f>
        <v>0</v>
      </c>
      <c r="Q92" s="123">
        <f>IF($E92=0,0,Dangchung!Q92)</f>
        <v>0</v>
      </c>
      <c r="R92" s="123">
        <f>IF($E92=0,0,Dangchung!R92)</f>
        <v>0</v>
      </c>
      <c r="S92" s="123">
        <f>IF($E92=0,0,Dangchung!S92)</f>
        <v>0</v>
      </c>
      <c r="T92" s="123">
        <f>IF($E92=0,0,Dangchung!T92)</f>
        <v>0</v>
      </c>
      <c r="U92" s="123">
        <f>IF($E92=0,0,Dangchung!U92)</f>
        <v>0</v>
      </c>
      <c r="V92" s="123">
        <f>IF($E92=0,0,Dangchung!V92)</f>
        <v>0</v>
      </c>
      <c r="W92" s="241">
        <f>IF($E92=0,0,Dangchung!W92)</f>
        <v>0</v>
      </c>
      <c r="X92" s="241">
        <f>IF($E92=0,0,Dangchung!X92)</f>
        <v>0</v>
      </c>
      <c r="Y92" s="241">
        <f>IF($E92=0,0,Dangchung!Y92)</f>
        <v>0</v>
      </c>
      <c r="Z92" s="241">
        <f>IF($E92=0,0,Dangchung!Z92)</f>
        <v>0</v>
      </c>
      <c r="AA92" s="241">
        <f>IF($E92=0,0,Dangchung!AA92)</f>
        <v>0</v>
      </c>
      <c r="AB92" s="241">
        <f>IF($E92=0,0,Dangchung!AB92)</f>
        <v>0</v>
      </c>
      <c r="AC92" s="241">
        <f>IF($E92=0,0,Dangchung!AC92)</f>
        <v>0</v>
      </c>
      <c r="AD92" s="241">
        <f>IF($E92=0,0,Dangchung!AD92)</f>
        <v>0</v>
      </c>
      <c r="AE92" s="241">
        <f>IF($E92=0,0,Dangchung!AE92)</f>
        <v>0</v>
      </c>
      <c r="AF92" s="241">
        <f>IF($E92=0,0,Dangchung!AF92)</f>
        <v>0</v>
      </c>
      <c r="AG92" s="241">
        <f>IF($E92=0,0,Dangchung!AG92)</f>
        <v>0</v>
      </c>
      <c r="AH92" s="241">
        <f>IF($E92=0,0,Dangchung!AH92)</f>
        <v>0</v>
      </c>
      <c r="AI92" s="241">
        <f>IF($E92=0,0,Dangchung!AI92)</f>
        <v>0</v>
      </c>
      <c r="AJ92" s="241">
        <f>IF($E92=0,0,Dangchung!AJ92)</f>
        <v>0</v>
      </c>
      <c r="AK92" s="241">
        <f>IF($E92=0,0,Dangchung!AK92)</f>
        <v>0</v>
      </c>
      <c r="AL92" s="212"/>
    </row>
    <row r="93" spans="1:38" hidden="1" x14ac:dyDescent="0.25">
      <c r="A93" s="220"/>
      <c r="B93" s="128">
        <f>IF(E93=0,0,MAX($B$8:B92)+1)</f>
        <v>0</v>
      </c>
      <c r="C93" s="191">
        <f>Dangchung!C93</f>
        <v>0</v>
      </c>
      <c r="D93" s="162">
        <f>IF(Dangchung!D93&lt;&gt;0,0,0)</f>
        <v>0</v>
      </c>
      <c r="E93" s="162">
        <f>IF(Dangchung!D93&lt;&gt;0,0,Dangchung!E93)</f>
        <v>0</v>
      </c>
      <c r="F93" s="123">
        <f>IF($E93=0,0,Dangchung!F93)</f>
        <v>0</v>
      </c>
      <c r="G93" s="123">
        <f>IF($E93=0,0,Dangchung!G93)</f>
        <v>0</v>
      </c>
      <c r="H93" s="123">
        <f>IF($E93=0,0,Dangchung!H93)</f>
        <v>0</v>
      </c>
      <c r="I93" s="125">
        <f>IF($E93=0,0,Dangchung!I93)</f>
        <v>0</v>
      </c>
      <c r="J93" s="125">
        <f>IF($E93=0,0,Dangchung!J93)</f>
        <v>0</v>
      </c>
      <c r="K93" s="123">
        <f>IF($E93=0,0,Dangchung!K93)</f>
        <v>0</v>
      </c>
      <c r="L93" s="123">
        <f>IF($E93=0,0,Dangchung!L93)</f>
        <v>0</v>
      </c>
      <c r="M93" s="123">
        <f>IF($E93=0,0,Dangchung!M93)</f>
        <v>0</v>
      </c>
      <c r="N93" s="123">
        <f>IF($E93=0,0,Dangchung!N93)</f>
        <v>0</v>
      </c>
      <c r="O93" s="123">
        <f>IF($E93=0,0,Dangchung!O93)</f>
        <v>0</v>
      </c>
      <c r="P93" s="123">
        <f>IF($E93=0,0,Dangchung!P93)</f>
        <v>0</v>
      </c>
      <c r="Q93" s="123">
        <f>IF($E93=0,0,Dangchung!Q93)</f>
        <v>0</v>
      </c>
      <c r="R93" s="123">
        <f>IF($E93=0,0,Dangchung!R93)</f>
        <v>0</v>
      </c>
      <c r="S93" s="123">
        <f>IF($E93=0,0,Dangchung!S93)</f>
        <v>0</v>
      </c>
      <c r="T93" s="123">
        <f>IF($E93=0,0,Dangchung!T93)</f>
        <v>0</v>
      </c>
      <c r="U93" s="123">
        <f>IF($E93=0,0,Dangchung!U93)</f>
        <v>0</v>
      </c>
      <c r="V93" s="123">
        <f>IF($E93=0,0,Dangchung!V93)</f>
        <v>0</v>
      </c>
      <c r="W93" s="241">
        <f>IF($E93=0,0,Dangchung!W93)</f>
        <v>0</v>
      </c>
      <c r="X93" s="241">
        <f>IF($E93=0,0,Dangchung!X93)</f>
        <v>0</v>
      </c>
      <c r="Y93" s="241">
        <f>IF($E93=0,0,Dangchung!Y93)</f>
        <v>0</v>
      </c>
      <c r="Z93" s="241">
        <f>IF($E93=0,0,Dangchung!Z93)</f>
        <v>0</v>
      </c>
      <c r="AA93" s="241">
        <f>IF($E93=0,0,Dangchung!AA93)</f>
        <v>0</v>
      </c>
      <c r="AB93" s="241">
        <f>IF($E93=0,0,Dangchung!AB93)</f>
        <v>0</v>
      </c>
      <c r="AC93" s="241">
        <f>IF($E93=0,0,Dangchung!AC93)</f>
        <v>0</v>
      </c>
      <c r="AD93" s="241">
        <f>IF($E93=0,0,Dangchung!AD93)</f>
        <v>0</v>
      </c>
      <c r="AE93" s="241">
        <f>IF($E93=0,0,Dangchung!AE93)</f>
        <v>0</v>
      </c>
      <c r="AF93" s="241">
        <f>IF($E93=0,0,Dangchung!AF93)</f>
        <v>0</v>
      </c>
      <c r="AG93" s="241">
        <f>IF($E93=0,0,Dangchung!AG93)</f>
        <v>0</v>
      </c>
      <c r="AH93" s="241">
        <f>IF($E93=0,0,Dangchung!AH93)</f>
        <v>0</v>
      </c>
      <c r="AI93" s="241">
        <f>IF($E93=0,0,Dangchung!AI93)</f>
        <v>0</v>
      </c>
      <c r="AJ93" s="241">
        <f>IF($E93=0,0,Dangchung!AJ93)</f>
        <v>0</v>
      </c>
      <c r="AK93" s="241">
        <f>IF($E93=0,0,Dangchung!AK93)</f>
        <v>0</v>
      </c>
      <c r="AL93" s="212"/>
    </row>
    <row r="94" spans="1:38" hidden="1" x14ac:dyDescent="0.25">
      <c r="A94" s="220"/>
      <c r="B94" s="128">
        <f>IF(E94=0,0,MAX($B$8:B93)+1)</f>
        <v>0</v>
      </c>
      <c r="C94" s="191">
        <f>Dangchung!C94</f>
        <v>0</v>
      </c>
      <c r="D94" s="162">
        <f>IF(Dangchung!D94&lt;&gt;0,0,0)</f>
        <v>0</v>
      </c>
      <c r="E94" s="162">
        <f>IF(Dangchung!D94&lt;&gt;0,0,Dangchung!E94)</f>
        <v>0</v>
      </c>
      <c r="F94" s="123">
        <f>IF($E94=0,0,Dangchung!F94)</f>
        <v>0</v>
      </c>
      <c r="G94" s="123">
        <f>IF($E94=0,0,Dangchung!G94)</f>
        <v>0</v>
      </c>
      <c r="H94" s="123">
        <f>IF($E94=0,0,Dangchung!H94)</f>
        <v>0</v>
      </c>
      <c r="I94" s="125">
        <f>IF($E94=0,0,Dangchung!I94)</f>
        <v>0</v>
      </c>
      <c r="J94" s="125">
        <f>IF($E94=0,0,Dangchung!J94)</f>
        <v>0</v>
      </c>
      <c r="K94" s="123">
        <f>IF($E94=0,0,Dangchung!K94)</f>
        <v>0</v>
      </c>
      <c r="L94" s="123">
        <f>IF($E94=0,0,Dangchung!L94)</f>
        <v>0</v>
      </c>
      <c r="M94" s="123">
        <f>IF($E94=0,0,Dangchung!M94)</f>
        <v>0</v>
      </c>
      <c r="N94" s="123">
        <f>IF($E94=0,0,Dangchung!N94)</f>
        <v>0</v>
      </c>
      <c r="O94" s="123">
        <f>IF($E94=0,0,Dangchung!O94)</f>
        <v>0</v>
      </c>
      <c r="P94" s="123">
        <f>IF($E94=0,0,Dangchung!P94)</f>
        <v>0</v>
      </c>
      <c r="Q94" s="123">
        <f>IF($E94=0,0,Dangchung!Q94)</f>
        <v>0</v>
      </c>
      <c r="R94" s="123">
        <f>IF($E94=0,0,Dangchung!R94)</f>
        <v>0</v>
      </c>
      <c r="S94" s="123">
        <f>IF($E94=0,0,Dangchung!S94)</f>
        <v>0</v>
      </c>
      <c r="T94" s="123">
        <f>IF($E94=0,0,Dangchung!T94)</f>
        <v>0</v>
      </c>
      <c r="U94" s="123">
        <f>IF($E94=0,0,Dangchung!U94)</f>
        <v>0</v>
      </c>
      <c r="V94" s="123">
        <f>IF($E94=0,0,Dangchung!V94)</f>
        <v>0</v>
      </c>
      <c r="W94" s="241">
        <f>IF($E94=0,0,Dangchung!W94)</f>
        <v>0</v>
      </c>
      <c r="X94" s="241">
        <f>IF($E94=0,0,Dangchung!X94)</f>
        <v>0</v>
      </c>
      <c r="Y94" s="241">
        <f>IF($E94=0,0,Dangchung!Y94)</f>
        <v>0</v>
      </c>
      <c r="Z94" s="241">
        <f>IF($E94=0,0,Dangchung!Z94)</f>
        <v>0</v>
      </c>
      <c r="AA94" s="241">
        <f>IF($E94=0,0,Dangchung!AA94)</f>
        <v>0</v>
      </c>
      <c r="AB94" s="241">
        <f>IF($E94=0,0,Dangchung!AB94)</f>
        <v>0</v>
      </c>
      <c r="AC94" s="241">
        <f>IF($E94=0,0,Dangchung!AC94)</f>
        <v>0</v>
      </c>
      <c r="AD94" s="241">
        <f>IF($E94=0,0,Dangchung!AD94)</f>
        <v>0</v>
      </c>
      <c r="AE94" s="241">
        <f>IF($E94=0,0,Dangchung!AE94)</f>
        <v>0</v>
      </c>
      <c r="AF94" s="241">
        <f>IF($E94=0,0,Dangchung!AF94)</f>
        <v>0</v>
      </c>
      <c r="AG94" s="241">
        <f>IF($E94=0,0,Dangchung!AG94)</f>
        <v>0</v>
      </c>
      <c r="AH94" s="241">
        <f>IF($E94=0,0,Dangchung!AH94)</f>
        <v>0</v>
      </c>
      <c r="AI94" s="241">
        <f>IF($E94=0,0,Dangchung!AI94)</f>
        <v>0</v>
      </c>
      <c r="AJ94" s="241">
        <f>IF($E94=0,0,Dangchung!AJ94)</f>
        <v>0</v>
      </c>
      <c r="AK94" s="241">
        <f>IF($E94=0,0,Dangchung!AK94)</f>
        <v>0</v>
      </c>
      <c r="AL94" s="212"/>
    </row>
    <row r="95" spans="1:38" hidden="1" x14ac:dyDescent="0.25">
      <c r="A95" s="220"/>
      <c r="B95" s="128">
        <f>IF(E95=0,0,MAX($B$8:B94)+1)</f>
        <v>0</v>
      </c>
      <c r="C95" s="191">
        <f>Dangchung!C95</f>
        <v>0</v>
      </c>
      <c r="D95" s="162">
        <f>IF(Dangchung!D95&lt;&gt;0,0,0)</f>
        <v>0</v>
      </c>
      <c r="E95" s="162">
        <f>IF(Dangchung!D95&lt;&gt;0,0,Dangchung!E95)</f>
        <v>0</v>
      </c>
      <c r="F95" s="123">
        <f>IF($E95=0,0,Dangchung!F95)</f>
        <v>0</v>
      </c>
      <c r="G95" s="123">
        <f>IF($E95=0,0,Dangchung!G95)</f>
        <v>0</v>
      </c>
      <c r="H95" s="123">
        <f>IF($E95=0,0,Dangchung!H95)</f>
        <v>0</v>
      </c>
      <c r="I95" s="125">
        <f>IF($E95=0,0,Dangchung!I95)</f>
        <v>0</v>
      </c>
      <c r="J95" s="125">
        <f>IF($E95=0,0,Dangchung!J95)</f>
        <v>0</v>
      </c>
      <c r="K95" s="123">
        <f>IF($E95=0,0,Dangchung!K95)</f>
        <v>0</v>
      </c>
      <c r="L95" s="123">
        <f>IF($E95=0,0,Dangchung!L95)</f>
        <v>0</v>
      </c>
      <c r="M95" s="123">
        <f>IF($E95=0,0,Dangchung!M95)</f>
        <v>0</v>
      </c>
      <c r="N95" s="123">
        <f>IF($E95=0,0,Dangchung!N95)</f>
        <v>0</v>
      </c>
      <c r="O95" s="123">
        <f>IF($E95=0,0,Dangchung!O95)</f>
        <v>0</v>
      </c>
      <c r="P95" s="123">
        <f>IF($E95=0,0,Dangchung!P95)</f>
        <v>0</v>
      </c>
      <c r="Q95" s="123">
        <f>IF($E95=0,0,Dangchung!Q95)</f>
        <v>0</v>
      </c>
      <c r="R95" s="123">
        <f>IF($E95=0,0,Dangchung!R95)</f>
        <v>0</v>
      </c>
      <c r="S95" s="123">
        <f>IF($E95=0,0,Dangchung!S95)</f>
        <v>0</v>
      </c>
      <c r="T95" s="123">
        <f>IF($E95=0,0,Dangchung!T95)</f>
        <v>0</v>
      </c>
      <c r="U95" s="123">
        <f>IF($E95=0,0,Dangchung!U95)</f>
        <v>0</v>
      </c>
      <c r="V95" s="123">
        <f>IF($E95=0,0,Dangchung!V95)</f>
        <v>0</v>
      </c>
      <c r="W95" s="241">
        <f>IF($E95=0,0,Dangchung!W95)</f>
        <v>0</v>
      </c>
      <c r="X95" s="241">
        <f>IF($E95=0,0,Dangchung!X95)</f>
        <v>0</v>
      </c>
      <c r="Y95" s="241">
        <f>IF($E95=0,0,Dangchung!Y95)</f>
        <v>0</v>
      </c>
      <c r="Z95" s="241">
        <f>IF($E95=0,0,Dangchung!Z95)</f>
        <v>0</v>
      </c>
      <c r="AA95" s="241">
        <f>IF($E95=0,0,Dangchung!AA95)</f>
        <v>0</v>
      </c>
      <c r="AB95" s="241">
        <f>IF($E95=0,0,Dangchung!AB95)</f>
        <v>0</v>
      </c>
      <c r="AC95" s="241">
        <f>IF($E95=0,0,Dangchung!AC95)</f>
        <v>0</v>
      </c>
      <c r="AD95" s="241">
        <f>IF($E95=0,0,Dangchung!AD95)</f>
        <v>0</v>
      </c>
      <c r="AE95" s="241">
        <f>IF($E95=0,0,Dangchung!AE95)</f>
        <v>0</v>
      </c>
      <c r="AF95" s="241">
        <f>IF($E95=0,0,Dangchung!AF95)</f>
        <v>0</v>
      </c>
      <c r="AG95" s="241">
        <f>IF($E95=0,0,Dangchung!AG95)</f>
        <v>0</v>
      </c>
      <c r="AH95" s="241">
        <f>IF($E95=0,0,Dangchung!AH95)</f>
        <v>0</v>
      </c>
      <c r="AI95" s="241">
        <f>IF($E95=0,0,Dangchung!AI95)</f>
        <v>0</v>
      </c>
      <c r="AJ95" s="241">
        <f>IF($E95=0,0,Dangchung!AJ95)</f>
        <v>0</v>
      </c>
      <c r="AK95" s="241">
        <f>IF($E95=0,0,Dangchung!AK95)</f>
        <v>0</v>
      </c>
      <c r="AL95" s="212"/>
    </row>
    <row r="96" spans="1:38" hidden="1" x14ac:dyDescent="0.25">
      <c r="A96" s="220"/>
      <c r="B96" s="128">
        <f>IF(E96=0,0,MAX($B$8:B95)+1)</f>
        <v>0</v>
      </c>
      <c r="C96" s="191">
        <f>Dangchung!C96</f>
        <v>0</v>
      </c>
      <c r="D96" s="162">
        <f>IF(Dangchung!D96&lt;&gt;0,0,0)</f>
        <v>0</v>
      </c>
      <c r="E96" s="162">
        <f>IF(Dangchung!D96&lt;&gt;0,0,Dangchung!E96)</f>
        <v>0</v>
      </c>
      <c r="F96" s="123">
        <f>IF($E96=0,0,Dangchung!F96)</f>
        <v>0</v>
      </c>
      <c r="G96" s="123">
        <f>IF($E96=0,0,Dangchung!G96)</f>
        <v>0</v>
      </c>
      <c r="H96" s="123">
        <f>IF($E96=0,0,Dangchung!H96)</f>
        <v>0</v>
      </c>
      <c r="I96" s="125">
        <f>IF($E96=0,0,Dangchung!I96)</f>
        <v>0</v>
      </c>
      <c r="J96" s="125">
        <f>IF($E96=0,0,Dangchung!J96)</f>
        <v>0</v>
      </c>
      <c r="K96" s="123">
        <f>IF($E96=0,0,Dangchung!K96)</f>
        <v>0</v>
      </c>
      <c r="L96" s="123">
        <f>IF($E96=0,0,Dangchung!L96)</f>
        <v>0</v>
      </c>
      <c r="M96" s="123">
        <f>IF($E96=0,0,Dangchung!M96)</f>
        <v>0</v>
      </c>
      <c r="N96" s="123">
        <f>IF($E96=0,0,Dangchung!N96)</f>
        <v>0</v>
      </c>
      <c r="O96" s="123">
        <f>IF($E96=0,0,Dangchung!O96)</f>
        <v>0</v>
      </c>
      <c r="P96" s="123">
        <f>IF($E96=0,0,Dangchung!P96)</f>
        <v>0</v>
      </c>
      <c r="Q96" s="123">
        <f>IF($E96=0,0,Dangchung!Q96)</f>
        <v>0</v>
      </c>
      <c r="R96" s="123">
        <f>IF($E96=0,0,Dangchung!R96)</f>
        <v>0</v>
      </c>
      <c r="S96" s="123">
        <f>IF($E96=0,0,Dangchung!S96)</f>
        <v>0</v>
      </c>
      <c r="T96" s="123">
        <f>IF($E96=0,0,Dangchung!T96)</f>
        <v>0</v>
      </c>
      <c r="U96" s="123">
        <f>IF($E96=0,0,Dangchung!U96)</f>
        <v>0</v>
      </c>
      <c r="V96" s="123">
        <f>IF($E96=0,0,Dangchung!V96)</f>
        <v>0</v>
      </c>
      <c r="W96" s="241">
        <f>IF($E96=0,0,Dangchung!W96)</f>
        <v>0</v>
      </c>
      <c r="X96" s="241">
        <f>IF($E96=0,0,Dangchung!X96)</f>
        <v>0</v>
      </c>
      <c r="Y96" s="241">
        <f>IF($E96=0,0,Dangchung!Y96)</f>
        <v>0</v>
      </c>
      <c r="Z96" s="241">
        <f>IF($E96=0,0,Dangchung!Z96)</f>
        <v>0</v>
      </c>
      <c r="AA96" s="241">
        <f>IF($E96=0,0,Dangchung!AA96)</f>
        <v>0</v>
      </c>
      <c r="AB96" s="241">
        <f>IF($E96=0,0,Dangchung!AB96)</f>
        <v>0</v>
      </c>
      <c r="AC96" s="241">
        <f>IF($E96=0,0,Dangchung!AC96)</f>
        <v>0</v>
      </c>
      <c r="AD96" s="241">
        <f>IF($E96=0,0,Dangchung!AD96)</f>
        <v>0</v>
      </c>
      <c r="AE96" s="241">
        <f>IF($E96=0,0,Dangchung!AE96)</f>
        <v>0</v>
      </c>
      <c r="AF96" s="241">
        <f>IF($E96=0,0,Dangchung!AF96)</f>
        <v>0</v>
      </c>
      <c r="AG96" s="241">
        <f>IF($E96=0,0,Dangchung!AG96)</f>
        <v>0</v>
      </c>
      <c r="AH96" s="241">
        <f>IF($E96=0,0,Dangchung!AH96)</f>
        <v>0</v>
      </c>
      <c r="AI96" s="241">
        <f>IF($E96=0,0,Dangchung!AI96)</f>
        <v>0</v>
      </c>
      <c r="AJ96" s="241">
        <f>IF($E96=0,0,Dangchung!AJ96)</f>
        <v>0</v>
      </c>
      <c r="AK96" s="241">
        <f>IF($E96=0,0,Dangchung!AK96)</f>
        <v>0</v>
      </c>
      <c r="AL96" s="212"/>
    </row>
    <row r="97" spans="1:38" hidden="1" x14ac:dyDescent="0.25">
      <c r="A97" s="220"/>
      <c r="B97" s="128">
        <f>IF(E97=0,0,MAX($B$8:B96)+1)</f>
        <v>0</v>
      </c>
      <c r="C97" s="191">
        <f>Dangchung!C97</f>
        <v>0</v>
      </c>
      <c r="D97" s="162">
        <f>IF(Dangchung!D97&lt;&gt;0,0,0)</f>
        <v>0</v>
      </c>
      <c r="E97" s="162">
        <f>IF(Dangchung!D97&lt;&gt;0,0,Dangchung!E97)</f>
        <v>0</v>
      </c>
      <c r="F97" s="123">
        <f>IF($E97=0,0,Dangchung!F97)</f>
        <v>0</v>
      </c>
      <c r="G97" s="123">
        <f>IF($E97=0,0,Dangchung!G97)</f>
        <v>0</v>
      </c>
      <c r="H97" s="123">
        <f>IF($E97=0,0,Dangchung!H97)</f>
        <v>0</v>
      </c>
      <c r="I97" s="125">
        <f>IF($E97=0,0,Dangchung!I97)</f>
        <v>0</v>
      </c>
      <c r="J97" s="125">
        <f>IF($E97=0,0,Dangchung!J97)</f>
        <v>0</v>
      </c>
      <c r="K97" s="123">
        <f>IF($E97=0,0,Dangchung!K97)</f>
        <v>0</v>
      </c>
      <c r="L97" s="123">
        <f>IF($E97=0,0,Dangchung!L97)</f>
        <v>0</v>
      </c>
      <c r="M97" s="123">
        <f>IF($E97=0,0,Dangchung!M97)</f>
        <v>0</v>
      </c>
      <c r="N97" s="123">
        <f>IF($E97=0,0,Dangchung!N97)</f>
        <v>0</v>
      </c>
      <c r="O97" s="123">
        <f>IF($E97=0,0,Dangchung!O97)</f>
        <v>0</v>
      </c>
      <c r="P97" s="123">
        <f>IF($E97=0,0,Dangchung!P97)</f>
        <v>0</v>
      </c>
      <c r="Q97" s="123">
        <f>IF($E97=0,0,Dangchung!Q97)</f>
        <v>0</v>
      </c>
      <c r="R97" s="123">
        <f>IF($E97=0,0,Dangchung!R97)</f>
        <v>0</v>
      </c>
      <c r="S97" s="123">
        <f>IF($E97=0,0,Dangchung!S97)</f>
        <v>0</v>
      </c>
      <c r="T97" s="123">
        <f>IF($E97=0,0,Dangchung!T97)</f>
        <v>0</v>
      </c>
      <c r="U97" s="123">
        <f>IF($E97=0,0,Dangchung!U97)</f>
        <v>0</v>
      </c>
      <c r="V97" s="123">
        <f>IF($E97=0,0,Dangchung!V97)</f>
        <v>0</v>
      </c>
      <c r="W97" s="241">
        <f>IF($E97=0,0,Dangchung!W97)</f>
        <v>0</v>
      </c>
      <c r="X97" s="241">
        <f>IF($E97=0,0,Dangchung!X97)</f>
        <v>0</v>
      </c>
      <c r="Y97" s="241">
        <f>IF($E97=0,0,Dangchung!Y97)</f>
        <v>0</v>
      </c>
      <c r="Z97" s="241">
        <f>IF($E97=0,0,Dangchung!Z97)</f>
        <v>0</v>
      </c>
      <c r="AA97" s="241">
        <f>IF($E97=0,0,Dangchung!AA97)</f>
        <v>0</v>
      </c>
      <c r="AB97" s="241">
        <f>IF($E97=0,0,Dangchung!AB97)</f>
        <v>0</v>
      </c>
      <c r="AC97" s="241">
        <f>IF($E97=0,0,Dangchung!AC97)</f>
        <v>0</v>
      </c>
      <c r="AD97" s="241">
        <f>IF($E97=0,0,Dangchung!AD97)</f>
        <v>0</v>
      </c>
      <c r="AE97" s="241">
        <f>IF($E97=0,0,Dangchung!AE97)</f>
        <v>0</v>
      </c>
      <c r="AF97" s="241">
        <f>IF($E97=0,0,Dangchung!AF97)</f>
        <v>0</v>
      </c>
      <c r="AG97" s="241">
        <f>IF($E97=0,0,Dangchung!AG97)</f>
        <v>0</v>
      </c>
      <c r="AH97" s="241">
        <f>IF($E97=0,0,Dangchung!AH97)</f>
        <v>0</v>
      </c>
      <c r="AI97" s="241">
        <f>IF($E97=0,0,Dangchung!AI97)</f>
        <v>0</v>
      </c>
      <c r="AJ97" s="241">
        <f>IF($E97=0,0,Dangchung!AJ97)</f>
        <v>0</v>
      </c>
      <c r="AK97" s="241">
        <f>IF($E97=0,0,Dangchung!AK97)</f>
        <v>0</v>
      </c>
      <c r="AL97" s="212"/>
    </row>
    <row r="98" spans="1:38" hidden="1" x14ac:dyDescent="0.25">
      <c r="A98" s="220"/>
      <c r="B98" s="128">
        <f>IF(E98=0,0,MAX($B$8:B97)+1)</f>
        <v>0</v>
      </c>
      <c r="C98" s="191">
        <f>Dangchung!C98</f>
        <v>0</v>
      </c>
      <c r="D98" s="162">
        <f>IF(Dangchung!D98&lt;&gt;0,0,0)</f>
        <v>0</v>
      </c>
      <c r="E98" s="162">
        <f>IF(Dangchung!D98&lt;&gt;0,0,Dangchung!E98)</f>
        <v>0</v>
      </c>
      <c r="F98" s="123">
        <f>IF($E98=0,0,Dangchung!F98)</f>
        <v>0</v>
      </c>
      <c r="G98" s="123">
        <f>IF($E98=0,0,Dangchung!G98)</f>
        <v>0</v>
      </c>
      <c r="H98" s="123">
        <f>IF($E98=0,0,Dangchung!H98)</f>
        <v>0</v>
      </c>
      <c r="I98" s="125">
        <f>IF($E98=0,0,Dangchung!I98)</f>
        <v>0</v>
      </c>
      <c r="J98" s="125">
        <f>IF($E98=0,0,Dangchung!J98)</f>
        <v>0</v>
      </c>
      <c r="K98" s="123">
        <f>IF($E98=0,0,Dangchung!K98)</f>
        <v>0</v>
      </c>
      <c r="L98" s="123">
        <f>IF($E98=0,0,Dangchung!L98)</f>
        <v>0</v>
      </c>
      <c r="M98" s="123">
        <f>IF($E98=0,0,Dangchung!M98)</f>
        <v>0</v>
      </c>
      <c r="N98" s="123">
        <f>IF($E98=0,0,Dangchung!N98)</f>
        <v>0</v>
      </c>
      <c r="O98" s="123">
        <f>IF($E98=0,0,Dangchung!O98)</f>
        <v>0</v>
      </c>
      <c r="P98" s="123">
        <f>IF($E98=0,0,Dangchung!P98)</f>
        <v>0</v>
      </c>
      <c r="Q98" s="123">
        <f>IF($E98=0,0,Dangchung!Q98)</f>
        <v>0</v>
      </c>
      <c r="R98" s="123">
        <f>IF($E98=0,0,Dangchung!R98)</f>
        <v>0</v>
      </c>
      <c r="S98" s="123">
        <f>IF($E98=0,0,Dangchung!S98)</f>
        <v>0</v>
      </c>
      <c r="T98" s="123">
        <f>IF($E98=0,0,Dangchung!T98)</f>
        <v>0</v>
      </c>
      <c r="U98" s="123">
        <f>IF($E98=0,0,Dangchung!U98)</f>
        <v>0</v>
      </c>
      <c r="V98" s="123">
        <f>IF($E98=0,0,Dangchung!V98)</f>
        <v>0</v>
      </c>
      <c r="W98" s="241">
        <f>IF($E98=0,0,Dangchung!W98)</f>
        <v>0</v>
      </c>
      <c r="X98" s="241">
        <f>IF($E98=0,0,Dangchung!X98)</f>
        <v>0</v>
      </c>
      <c r="Y98" s="241">
        <f>IF($E98=0,0,Dangchung!Y98)</f>
        <v>0</v>
      </c>
      <c r="Z98" s="241">
        <f>IF($E98=0,0,Dangchung!Z98)</f>
        <v>0</v>
      </c>
      <c r="AA98" s="241">
        <f>IF($E98=0,0,Dangchung!AA98)</f>
        <v>0</v>
      </c>
      <c r="AB98" s="241">
        <f>IF($E98=0,0,Dangchung!AB98)</f>
        <v>0</v>
      </c>
      <c r="AC98" s="241">
        <f>IF($E98=0,0,Dangchung!AC98)</f>
        <v>0</v>
      </c>
      <c r="AD98" s="241">
        <f>IF($E98=0,0,Dangchung!AD98)</f>
        <v>0</v>
      </c>
      <c r="AE98" s="241">
        <f>IF($E98=0,0,Dangchung!AE98)</f>
        <v>0</v>
      </c>
      <c r="AF98" s="241">
        <f>IF($E98=0,0,Dangchung!AF98)</f>
        <v>0</v>
      </c>
      <c r="AG98" s="241">
        <f>IF($E98=0,0,Dangchung!AG98)</f>
        <v>0</v>
      </c>
      <c r="AH98" s="241">
        <f>IF($E98=0,0,Dangchung!AH98)</f>
        <v>0</v>
      </c>
      <c r="AI98" s="241">
        <f>IF($E98=0,0,Dangchung!AI98)</f>
        <v>0</v>
      </c>
      <c r="AJ98" s="241">
        <f>IF($E98=0,0,Dangchung!AJ98)</f>
        <v>0</v>
      </c>
      <c r="AK98" s="241">
        <f>IF($E98=0,0,Dangchung!AK98)</f>
        <v>0</v>
      </c>
      <c r="AL98" s="212"/>
    </row>
    <row r="99" spans="1:38" hidden="1" x14ac:dyDescent="0.25">
      <c r="A99" s="220"/>
      <c r="B99" s="128">
        <f>IF(E99=0,0,MAX($B$8:B98)+1)</f>
        <v>0</v>
      </c>
      <c r="C99" s="191">
        <f>Dangchung!C99</f>
        <v>0</v>
      </c>
      <c r="D99" s="162">
        <f>IF(Dangchung!D99&lt;&gt;0,0,0)</f>
        <v>0</v>
      </c>
      <c r="E99" s="162">
        <f>IF(Dangchung!D99&lt;&gt;0,0,Dangchung!E99)</f>
        <v>0</v>
      </c>
      <c r="F99" s="123">
        <f>IF($E99=0,0,Dangchung!F99)</f>
        <v>0</v>
      </c>
      <c r="G99" s="123">
        <f>IF($E99=0,0,Dangchung!G99)</f>
        <v>0</v>
      </c>
      <c r="H99" s="123">
        <f>IF($E99=0,0,Dangchung!H99)</f>
        <v>0</v>
      </c>
      <c r="I99" s="125">
        <f>IF($E99=0,0,Dangchung!I99)</f>
        <v>0</v>
      </c>
      <c r="J99" s="125">
        <f>IF($E99=0,0,Dangchung!J99)</f>
        <v>0</v>
      </c>
      <c r="K99" s="123">
        <f>IF($E99=0,0,Dangchung!K99)</f>
        <v>0</v>
      </c>
      <c r="L99" s="123">
        <f>IF($E99=0,0,Dangchung!L99)</f>
        <v>0</v>
      </c>
      <c r="M99" s="123">
        <f>IF($E99=0,0,Dangchung!M99)</f>
        <v>0</v>
      </c>
      <c r="N99" s="123">
        <f>IF($E99=0,0,Dangchung!N99)</f>
        <v>0</v>
      </c>
      <c r="O99" s="123">
        <f>IF($E99=0,0,Dangchung!O99)</f>
        <v>0</v>
      </c>
      <c r="P99" s="123">
        <f>IF($E99=0,0,Dangchung!P99)</f>
        <v>0</v>
      </c>
      <c r="Q99" s="123">
        <f>IF($E99=0,0,Dangchung!Q99)</f>
        <v>0</v>
      </c>
      <c r="R99" s="123">
        <f>IF($E99=0,0,Dangchung!R99)</f>
        <v>0</v>
      </c>
      <c r="S99" s="123">
        <f>IF($E99=0,0,Dangchung!S99)</f>
        <v>0</v>
      </c>
      <c r="T99" s="123">
        <f>IF($E99=0,0,Dangchung!T99)</f>
        <v>0</v>
      </c>
      <c r="U99" s="123">
        <f>IF($E99=0,0,Dangchung!U99)</f>
        <v>0</v>
      </c>
      <c r="V99" s="123">
        <f>IF($E99=0,0,Dangchung!V99)</f>
        <v>0</v>
      </c>
      <c r="W99" s="241">
        <f>IF($E99=0,0,Dangchung!W99)</f>
        <v>0</v>
      </c>
      <c r="X99" s="241">
        <f>IF($E99=0,0,Dangchung!X99)</f>
        <v>0</v>
      </c>
      <c r="Y99" s="241">
        <f>IF($E99=0,0,Dangchung!Y99)</f>
        <v>0</v>
      </c>
      <c r="Z99" s="241">
        <f>IF($E99=0,0,Dangchung!Z99)</f>
        <v>0</v>
      </c>
      <c r="AA99" s="241">
        <f>IF($E99=0,0,Dangchung!AA99)</f>
        <v>0</v>
      </c>
      <c r="AB99" s="241">
        <f>IF($E99=0,0,Dangchung!AB99)</f>
        <v>0</v>
      </c>
      <c r="AC99" s="241">
        <f>IF($E99=0,0,Dangchung!AC99)</f>
        <v>0</v>
      </c>
      <c r="AD99" s="241">
        <f>IF($E99=0,0,Dangchung!AD99)</f>
        <v>0</v>
      </c>
      <c r="AE99" s="241">
        <f>IF($E99=0,0,Dangchung!AE99)</f>
        <v>0</v>
      </c>
      <c r="AF99" s="241">
        <f>IF($E99=0,0,Dangchung!AF99)</f>
        <v>0</v>
      </c>
      <c r="AG99" s="241">
        <f>IF($E99=0,0,Dangchung!AG99)</f>
        <v>0</v>
      </c>
      <c r="AH99" s="241">
        <f>IF($E99=0,0,Dangchung!AH99)</f>
        <v>0</v>
      </c>
      <c r="AI99" s="241">
        <f>IF($E99=0,0,Dangchung!AI99)</f>
        <v>0</v>
      </c>
      <c r="AJ99" s="241">
        <f>IF($E99=0,0,Dangchung!AJ99)</f>
        <v>0</v>
      </c>
      <c r="AK99" s="241">
        <f>IF($E99=0,0,Dangchung!AK99)</f>
        <v>0</v>
      </c>
      <c r="AL99" s="212"/>
    </row>
    <row r="100" spans="1:38" hidden="1" x14ac:dyDescent="0.25">
      <c r="A100" s="220"/>
      <c r="B100" s="128">
        <f>IF(E100=0,0,MAX($B$8:B99)+1)</f>
        <v>0</v>
      </c>
      <c r="C100" s="191">
        <f>Dangchung!C100</f>
        <v>0</v>
      </c>
      <c r="D100" s="162">
        <f>IF(Dangchung!D100&lt;&gt;0,0,0)</f>
        <v>0</v>
      </c>
      <c r="E100" s="162">
        <f>IF(Dangchung!D100&lt;&gt;0,0,Dangchung!E100)</f>
        <v>0</v>
      </c>
      <c r="F100" s="123">
        <f>IF($E100=0,0,Dangchung!F100)</f>
        <v>0</v>
      </c>
      <c r="G100" s="123">
        <f>IF($E100=0,0,Dangchung!G100)</f>
        <v>0</v>
      </c>
      <c r="H100" s="123">
        <f>IF($E100=0,0,Dangchung!H100)</f>
        <v>0</v>
      </c>
      <c r="I100" s="125">
        <f>IF($E100=0,0,Dangchung!I100)</f>
        <v>0</v>
      </c>
      <c r="J100" s="125">
        <f>IF($E100=0,0,Dangchung!J100)</f>
        <v>0</v>
      </c>
      <c r="K100" s="123">
        <f>IF($E100=0,0,Dangchung!K100)</f>
        <v>0</v>
      </c>
      <c r="L100" s="123">
        <f>IF($E100=0,0,Dangchung!L100)</f>
        <v>0</v>
      </c>
      <c r="M100" s="123">
        <f>IF($E100=0,0,Dangchung!M100)</f>
        <v>0</v>
      </c>
      <c r="N100" s="123">
        <f>IF($E100=0,0,Dangchung!N100)</f>
        <v>0</v>
      </c>
      <c r="O100" s="123">
        <f>IF($E100=0,0,Dangchung!O100)</f>
        <v>0</v>
      </c>
      <c r="P100" s="123">
        <f>IF($E100=0,0,Dangchung!P100)</f>
        <v>0</v>
      </c>
      <c r="Q100" s="123">
        <f>IF($E100=0,0,Dangchung!Q100)</f>
        <v>0</v>
      </c>
      <c r="R100" s="123">
        <f>IF($E100=0,0,Dangchung!R100)</f>
        <v>0</v>
      </c>
      <c r="S100" s="123">
        <f>IF($E100=0,0,Dangchung!S100)</f>
        <v>0</v>
      </c>
      <c r="T100" s="123">
        <f>IF($E100=0,0,Dangchung!T100)</f>
        <v>0</v>
      </c>
      <c r="U100" s="123">
        <f>IF($E100=0,0,Dangchung!U100)</f>
        <v>0</v>
      </c>
      <c r="V100" s="123">
        <f>IF($E100=0,0,Dangchung!V100)</f>
        <v>0</v>
      </c>
      <c r="W100" s="241">
        <f>IF($E100=0,0,Dangchung!W100)</f>
        <v>0</v>
      </c>
      <c r="X100" s="241">
        <f>IF($E100=0,0,Dangchung!X100)</f>
        <v>0</v>
      </c>
      <c r="Y100" s="241">
        <f>IF($E100=0,0,Dangchung!Y100)</f>
        <v>0</v>
      </c>
      <c r="Z100" s="241">
        <f>IF($E100=0,0,Dangchung!Z100)</f>
        <v>0</v>
      </c>
      <c r="AA100" s="241">
        <f>IF($E100=0,0,Dangchung!AA100)</f>
        <v>0</v>
      </c>
      <c r="AB100" s="241">
        <f>IF($E100=0,0,Dangchung!AB100)</f>
        <v>0</v>
      </c>
      <c r="AC100" s="241">
        <f>IF($E100=0,0,Dangchung!AC100)</f>
        <v>0</v>
      </c>
      <c r="AD100" s="241">
        <f>IF($E100=0,0,Dangchung!AD100)</f>
        <v>0</v>
      </c>
      <c r="AE100" s="241">
        <f>IF($E100=0,0,Dangchung!AE100)</f>
        <v>0</v>
      </c>
      <c r="AF100" s="241">
        <f>IF($E100=0,0,Dangchung!AF100)</f>
        <v>0</v>
      </c>
      <c r="AG100" s="241">
        <f>IF($E100=0,0,Dangchung!AG100)</f>
        <v>0</v>
      </c>
      <c r="AH100" s="241">
        <f>IF($E100=0,0,Dangchung!AH100)</f>
        <v>0</v>
      </c>
      <c r="AI100" s="241">
        <f>IF($E100=0,0,Dangchung!AI100)</f>
        <v>0</v>
      </c>
      <c r="AJ100" s="241">
        <f>IF($E100=0,0,Dangchung!AJ100)</f>
        <v>0</v>
      </c>
      <c r="AK100" s="241">
        <f>IF($E100=0,0,Dangchung!AK100)</f>
        <v>0</v>
      </c>
      <c r="AL100" s="212"/>
    </row>
    <row r="101" spans="1:38" hidden="1" x14ac:dyDescent="0.25">
      <c r="A101" s="220"/>
      <c r="B101" s="128">
        <f>IF(E101=0,0,MAX($B$8:B100)+1)</f>
        <v>0</v>
      </c>
      <c r="C101" s="191">
        <f>Dangchung!C101</f>
        <v>0</v>
      </c>
      <c r="D101" s="162">
        <f>IF(Dangchung!D101&lt;&gt;0,0,0)</f>
        <v>0</v>
      </c>
      <c r="E101" s="162">
        <f>IF(Dangchung!D101&lt;&gt;0,0,Dangchung!E101)</f>
        <v>0</v>
      </c>
      <c r="F101" s="123">
        <f>IF($E101=0,0,Dangchung!F101)</f>
        <v>0</v>
      </c>
      <c r="G101" s="123">
        <f>IF($E101=0,0,Dangchung!G101)</f>
        <v>0</v>
      </c>
      <c r="H101" s="123">
        <f>IF($E101=0,0,Dangchung!H101)</f>
        <v>0</v>
      </c>
      <c r="I101" s="125">
        <f>IF($E101=0,0,Dangchung!I101)</f>
        <v>0</v>
      </c>
      <c r="J101" s="125">
        <f>IF($E101=0,0,Dangchung!J101)</f>
        <v>0</v>
      </c>
      <c r="K101" s="123">
        <f>IF($E101=0,0,Dangchung!K101)</f>
        <v>0</v>
      </c>
      <c r="L101" s="123">
        <f>IF($E101=0,0,Dangchung!L101)</f>
        <v>0</v>
      </c>
      <c r="M101" s="123">
        <f>IF($E101=0,0,Dangchung!M101)</f>
        <v>0</v>
      </c>
      <c r="N101" s="123">
        <f>IF($E101=0,0,Dangchung!N101)</f>
        <v>0</v>
      </c>
      <c r="O101" s="123">
        <f>IF($E101=0,0,Dangchung!O101)</f>
        <v>0</v>
      </c>
      <c r="P101" s="123">
        <f>IF($E101=0,0,Dangchung!P101)</f>
        <v>0</v>
      </c>
      <c r="Q101" s="123">
        <f>IF($E101=0,0,Dangchung!Q101)</f>
        <v>0</v>
      </c>
      <c r="R101" s="123">
        <f>IF($E101=0,0,Dangchung!R101)</f>
        <v>0</v>
      </c>
      <c r="S101" s="123">
        <f>IF($E101=0,0,Dangchung!S101)</f>
        <v>0</v>
      </c>
      <c r="T101" s="123">
        <f>IF($E101=0,0,Dangchung!T101)</f>
        <v>0</v>
      </c>
      <c r="U101" s="123">
        <f>IF($E101=0,0,Dangchung!U101)</f>
        <v>0</v>
      </c>
      <c r="V101" s="123">
        <f>IF($E101=0,0,Dangchung!V101)</f>
        <v>0</v>
      </c>
      <c r="W101" s="241">
        <f>IF($E101=0,0,Dangchung!W101)</f>
        <v>0</v>
      </c>
      <c r="X101" s="241">
        <f>IF($E101=0,0,Dangchung!X101)</f>
        <v>0</v>
      </c>
      <c r="Y101" s="241">
        <f>IF($E101=0,0,Dangchung!Y101)</f>
        <v>0</v>
      </c>
      <c r="Z101" s="241">
        <f>IF($E101=0,0,Dangchung!Z101)</f>
        <v>0</v>
      </c>
      <c r="AA101" s="241">
        <f>IF($E101=0,0,Dangchung!AA101)</f>
        <v>0</v>
      </c>
      <c r="AB101" s="241">
        <f>IF($E101=0,0,Dangchung!AB101)</f>
        <v>0</v>
      </c>
      <c r="AC101" s="241">
        <f>IF($E101=0,0,Dangchung!AC101)</f>
        <v>0</v>
      </c>
      <c r="AD101" s="241">
        <f>IF($E101=0,0,Dangchung!AD101)</f>
        <v>0</v>
      </c>
      <c r="AE101" s="241">
        <f>IF($E101=0,0,Dangchung!AE101)</f>
        <v>0</v>
      </c>
      <c r="AF101" s="241">
        <f>IF($E101=0,0,Dangchung!AF101)</f>
        <v>0</v>
      </c>
      <c r="AG101" s="241">
        <f>IF($E101=0,0,Dangchung!AG101)</f>
        <v>0</v>
      </c>
      <c r="AH101" s="241">
        <f>IF($E101=0,0,Dangchung!AH101)</f>
        <v>0</v>
      </c>
      <c r="AI101" s="241">
        <f>IF($E101=0,0,Dangchung!AI101)</f>
        <v>0</v>
      </c>
      <c r="AJ101" s="241">
        <f>IF($E101=0,0,Dangchung!AJ101)</f>
        <v>0</v>
      </c>
      <c r="AK101" s="241">
        <f>IF($E101=0,0,Dangchung!AK101)</f>
        <v>0</v>
      </c>
      <c r="AL101" s="212"/>
    </row>
    <row r="102" spans="1:38" hidden="1" x14ac:dyDescent="0.25">
      <c r="A102" s="220"/>
      <c r="B102" s="128">
        <f>IF(E102=0,0,MAX($B$8:B101)+1)</f>
        <v>0</v>
      </c>
      <c r="C102" s="191">
        <f>Dangchung!C102</f>
        <v>0</v>
      </c>
      <c r="D102" s="162">
        <f>IF(Dangchung!D102&lt;&gt;0,0,0)</f>
        <v>0</v>
      </c>
      <c r="E102" s="162">
        <f>IF(Dangchung!D102&lt;&gt;0,0,Dangchung!E102)</f>
        <v>0</v>
      </c>
      <c r="F102" s="123">
        <f>IF($E102=0,0,Dangchung!F102)</f>
        <v>0</v>
      </c>
      <c r="G102" s="123">
        <f>IF($E102=0,0,Dangchung!G102)</f>
        <v>0</v>
      </c>
      <c r="H102" s="123">
        <f>IF($E102=0,0,Dangchung!H102)</f>
        <v>0</v>
      </c>
      <c r="I102" s="125">
        <f>IF($E102=0,0,Dangchung!I102)</f>
        <v>0</v>
      </c>
      <c r="J102" s="125">
        <f>IF($E102=0,0,Dangchung!J102)</f>
        <v>0</v>
      </c>
      <c r="K102" s="123">
        <f>IF($E102=0,0,Dangchung!K102)</f>
        <v>0</v>
      </c>
      <c r="L102" s="123">
        <f>IF($E102=0,0,Dangchung!L102)</f>
        <v>0</v>
      </c>
      <c r="M102" s="123">
        <f>IF($E102=0,0,Dangchung!M102)</f>
        <v>0</v>
      </c>
      <c r="N102" s="123">
        <f>IF($E102=0,0,Dangchung!N102)</f>
        <v>0</v>
      </c>
      <c r="O102" s="123">
        <f>IF($E102=0,0,Dangchung!O102)</f>
        <v>0</v>
      </c>
      <c r="P102" s="123">
        <f>IF($E102=0,0,Dangchung!P102)</f>
        <v>0</v>
      </c>
      <c r="Q102" s="123">
        <f>IF($E102=0,0,Dangchung!Q102)</f>
        <v>0</v>
      </c>
      <c r="R102" s="123">
        <f>IF($E102=0,0,Dangchung!R102)</f>
        <v>0</v>
      </c>
      <c r="S102" s="123">
        <f>IF($E102=0,0,Dangchung!S102)</f>
        <v>0</v>
      </c>
      <c r="T102" s="123">
        <f>IF($E102=0,0,Dangchung!T102)</f>
        <v>0</v>
      </c>
      <c r="U102" s="123">
        <f>IF($E102=0,0,Dangchung!U102)</f>
        <v>0</v>
      </c>
      <c r="V102" s="123">
        <f>IF($E102=0,0,Dangchung!V102)</f>
        <v>0</v>
      </c>
      <c r="W102" s="241">
        <f>IF($E102=0,0,Dangchung!W102)</f>
        <v>0</v>
      </c>
      <c r="X102" s="241">
        <f>IF($E102=0,0,Dangchung!X102)</f>
        <v>0</v>
      </c>
      <c r="Y102" s="241">
        <f>IF($E102=0,0,Dangchung!Y102)</f>
        <v>0</v>
      </c>
      <c r="Z102" s="241">
        <f>IF($E102=0,0,Dangchung!Z102)</f>
        <v>0</v>
      </c>
      <c r="AA102" s="241">
        <f>IF($E102=0,0,Dangchung!AA102)</f>
        <v>0</v>
      </c>
      <c r="AB102" s="241">
        <f>IF($E102=0,0,Dangchung!AB102)</f>
        <v>0</v>
      </c>
      <c r="AC102" s="241">
        <f>IF($E102=0,0,Dangchung!AC102)</f>
        <v>0</v>
      </c>
      <c r="AD102" s="241">
        <f>IF($E102=0,0,Dangchung!AD102)</f>
        <v>0</v>
      </c>
      <c r="AE102" s="241">
        <f>IF($E102=0,0,Dangchung!AE102)</f>
        <v>0</v>
      </c>
      <c r="AF102" s="241">
        <f>IF($E102=0,0,Dangchung!AF102)</f>
        <v>0</v>
      </c>
      <c r="AG102" s="241">
        <f>IF($E102=0,0,Dangchung!AG102)</f>
        <v>0</v>
      </c>
      <c r="AH102" s="241">
        <f>IF($E102=0,0,Dangchung!AH102)</f>
        <v>0</v>
      </c>
      <c r="AI102" s="241">
        <f>IF($E102=0,0,Dangchung!AI102)</f>
        <v>0</v>
      </c>
      <c r="AJ102" s="241">
        <f>IF($E102=0,0,Dangchung!AJ102)</f>
        <v>0</v>
      </c>
      <c r="AK102" s="241">
        <f>IF($E102=0,0,Dangchung!AK102)</f>
        <v>0</v>
      </c>
      <c r="AL102" s="212"/>
    </row>
    <row r="103" spans="1:38" hidden="1" x14ac:dyDescent="0.25">
      <c r="A103" s="220"/>
      <c r="B103" s="128">
        <f>IF(E103=0,0,MAX($B$8:B102)+1)</f>
        <v>0</v>
      </c>
      <c r="C103" s="191">
        <f>Dangchung!C103</f>
        <v>0</v>
      </c>
      <c r="D103" s="162">
        <f>IF(Dangchung!D103&lt;&gt;0,0,0)</f>
        <v>0</v>
      </c>
      <c r="E103" s="162">
        <f>IF(Dangchung!D103&lt;&gt;0,0,Dangchung!E103)</f>
        <v>0</v>
      </c>
      <c r="F103" s="123">
        <f>IF($E103=0,0,Dangchung!F103)</f>
        <v>0</v>
      </c>
      <c r="G103" s="123">
        <f>IF($E103=0,0,Dangchung!G103)</f>
        <v>0</v>
      </c>
      <c r="H103" s="123">
        <f>IF($E103=0,0,Dangchung!H103)</f>
        <v>0</v>
      </c>
      <c r="I103" s="125">
        <f>IF($E103=0,0,Dangchung!I103)</f>
        <v>0</v>
      </c>
      <c r="J103" s="125">
        <f>IF($E103=0,0,Dangchung!J103)</f>
        <v>0</v>
      </c>
      <c r="K103" s="123">
        <f>IF($E103=0,0,Dangchung!K103)</f>
        <v>0</v>
      </c>
      <c r="L103" s="123">
        <f>IF($E103=0,0,Dangchung!L103)</f>
        <v>0</v>
      </c>
      <c r="M103" s="123">
        <f>IF($E103=0,0,Dangchung!M103)</f>
        <v>0</v>
      </c>
      <c r="N103" s="123">
        <f>IF($E103=0,0,Dangchung!N103)</f>
        <v>0</v>
      </c>
      <c r="O103" s="123">
        <f>IF($E103=0,0,Dangchung!O103)</f>
        <v>0</v>
      </c>
      <c r="P103" s="123">
        <f>IF($E103=0,0,Dangchung!P103)</f>
        <v>0</v>
      </c>
      <c r="Q103" s="123">
        <f>IF($E103=0,0,Dangchung!Q103)</f>
        <v>0</v>
      </c>
      <c r="R103" s="123">
        <f>IF($E103=0,0,Dangchung!R103)</f>
        <v>0</v>
      </c>
      <c r="S103" s="123">
        <f>IF($E103=0,0,Dangchung!S103)</f>
        <v>0</v>
      </c>
      <c r="T103" s="123">
        <f>IF($E103=0,0,Dangchung!T103)</f>
        <v>0</v>
      </c>
      <c r="U103" s="123">
        <f>IF($E103=0,0,Dangchung!U103)</f>
        <v>0</v>
      </c>
      <c r="V103" s="123">
        <f>IF($E103=0,0,Dangchung!V103)</f>
        <v>0</v>
      </c>
      <c r="W103" s="241">
        <f>IF($E103=0,0,Dangchung!W103)</f>
        <v>0</v>
      </c>
      <c r="X103" s="241">
        <f>IF($E103=0,0,Dangchung!X103)</f>
        <v>0</v>
      </c>
      <c r="Y103" s="241">
        <f>IF($E103=0,0,Dangchung!Y103)</f>
        <v>0</v>
      </c>
      <c r="Z103" s="241">
        <f>IF($E103=0,0,Dangchung!Z103)</f>
        <v>0</v>
      </c>
      <c r="AA103" s="241">
        <f>IF($E103=0,0,Dangchung!AA103)</f>
        <v>0</v>
      </c>
      <c r="AB103" s="241">
        <f>IF($E103=0,0,Dangchung!AB103)</f>
        <v>0</v>
      </c>
      <c r="AC103" s="241">
        <f>IF($E103=0,0,Dangchung!AC103)</f>
        <v>0</v>
      </c>
      <c r="AD103" s="241">
        <f>IF($E103=0,0,Dangchung!AD103)</f>
        <v>0</v>
      </c>
      <c r="AE103" s="241">
        <f>IF($E103=0,0,Dangchung!AE103)</f>
        <v>0</v>
      </c>
      <c r="AF103" s="241">
        <f>IF($E103=0,0,Dangchung!AF103)</f>
        <v>0</v>
      </c>
      <c r="AG103" s="241">
        <f>IF($E103=0,0,Dangchung!AG103)</f>
        <v>0</v>
      </c>
      <c r="AH103" s="241">
        <f>IF($E103=0,0,Dangchung!AH103)</f>
        <v>0</v>
      </c>
      <c r="AI103" s="241">
        <f>IF($E103=0,0,Dangchung!AI103)</f>
        <v>0</v>
      </c>
      <c r="AJ103" s="241">
        <f>IF($E103=0,0,Dangchung!AJ103)</f>
        <v>0</v>
      </c>
      <c r="AK103" s="241">
        <f>IF($E103=0,0,Dangchung!AK103)</f>
        <v>0</v>
      </c>
      <c r="AL103" s="212"/>
    </row>
    <row r="104" spans="1:38" hidden="1" x14ac:dyDescent="0.25">
      <c r="A104" s="220"/>
      <c r="B104" s="128">
        <f>IF(E104=0,0,MAX($B$8:B103)+1)</f>
        <v>0</v>
      </c>
      <c r="C104" s="191">
        <f>Dangchung!C104</f>
        <v>0</v>
      </c>
      <c r="D104" s="162">
        <f>IF(Dangchung!D104&lt;&gt;0,0,0)</f>
        <v>0</v>
      </c>
      <c r="E104" s="162">
        <f>IF(Dangchung!D104&lt;&gt;0,0,Dangchung!E104)</f>
        <v>0</v>
      </c>
      <c r="F104" s="123">
        <f>IF($E104=0,0,Dangchung!F104)</f>
        <v>0</v>
      </c>
      <c r="G104" s="123">
        <f>IF($E104=0,0,Dangchung!G104)</f>
        <v>0</v>
      </c>
      <c r="H104" s="123">
        <f>IF($E104=0,0,Dangchung!H104)</f>
        <v>0</v>
      </c>
      <c r="I104" s="125">
        <f>IF($E104=0,0,Dangchung!I104)</f>
        <v>0</v>
      </c>
      <c r="J104" s="125">
        <f>IF($E104=0,0,Dangchung!J104)</f>
        <v>0</v>
      </c>
      <c r="K104" s="123">
        <f>IF($E104=0,0,Dangchung!K104)</f>
        <v>0</v>
      </c>
      <c r="L104" s="123">
        <f>IF($E104=0,0,Dangchung!L104)</f>
        <v>0</v>
      </c>
      <c r="M104" s="123">
        <f>IF($E104=0,0,Dangchung!M104)</f>
        <v>0</v>
      </c>
      <c r="N104" s="123">
        <f>IF($E104=0,0,Dangchung!N104)</f>
        <v>0</v>
      </c>
      <c r="O104" s="123">
        <f>IF($E104=0,0,Dangchung!O104)</f>
        <v>0</v>
      </c>
      <c r="P104" s="123">
        <f>IF($E104=0,0,Dangchung!P104)</f>
        <v>0</v>
      </c>
      <c r="Q104" s="123">
        <f>IF($E104=0,0,Dangchung!Q104)</f>
        <v>0</v>
      </c>
      <c r="R104" s="123">
        <f>IF($E104=0,0,Dangchung!R104)</f>
        <v>0</v>
      </c>
      <c r="S104" s="123">
        <f>IF($E104=0,0,Dangchung!S104)</f>
        <v>0</v>
      </c>
      <c r="T104" s="123">
        <f>IF($E104=0,0,Dangchung!T104)</f>
        <v>0</v>
      </c>
      <c r="U104" s="123">
        <f>IF($E104=0,0,Dangchung!U104)</f>
        <v>0</v>
      </c>
      <c r="V104" s="123">
        <f>IF($E104=0,0,Dangchung!V104)</f>
        <v>0</v>
      </c>
      <c r="W104" s="241">
        <f>IF($E104=0,0,Dangchung!W104)</f>
        <v>0</v>
      </c>
      <c r="X104" s="241">
        <f>IF($E104=0,0,Dangchung!X104)</f>
        <v>0</v>
      </c>
      <c r="Y104" s="241">
        <f>IF($E104=0,0,Dangchung!Y104)</f>
        <v>0</v>
      </c>
      <c r="Z104" s="241">
        <f>IF($E104=0,0,Dangchung!Z104)</f>
        <v>0</v>
      </c>
      <c r="AA104" s="241">
        <f>IF($E104=0,0,Dangchung!AA104)</f>
        <v>0</v>
      </c>
      <c r="AB104" s="241">
        <f>IF($E104=0,0,Dangchung!AB104)</f>
        <v>0</v>
      </c>
      <c r="AC104" s="241">
        <f>IF($E104=0,0,Dangchung!AC104)</f>
        <v>0</v>
      </c>
      <c r="AD104" s="241">
        <f>IF($E104=0,0,Dangchung!AD104)</f>
        <v>0</v>
      </c>
      <c r="AE104" s="241">
        <f>IF($E104=0,0,Dangchung!AE104)</f>
        <v>0</v>
      </c>
      <c r="AF104" s="241">
        <f>IF($E104=0,0,Dangchung!AF104)</f>
        <v>0</v>
      </c>
      <c r="AG104" s="241">
        <f>IF($E104=0,0,Dangchung!AG104)</f>
        <v>0</v>
      </c>
      <c r="AH104" s="241">
        <f>IF($E104=0,0,Dangchung!AH104)</f>
        <v>0</v>
      </c>
      <c r="AI104" s="241">
        <f>IF($E104=0,0,Dangchung!AI104)</f>
        <v>0</v>
      </c>
      <c r="AJ104" s="241">
        <f>IF($E104=0,0,Dangchung!AJ104)</f>
        <v>0</v>
      </c>
      <c r="AK104" s="241">
        <f>IF($E104=0,0,Dangchung!AK104)</f>
        <v>0</v>
      </c>
      <c r="AL104" s="212"/>
    </row>
    <row r="105" spans="1:38" hidden="1" x14ac:dyDescent="0.25">
      <c r="A105" s="220"/>
      <c r="B105" s="128">
        <f>IF(E105=0,0,MAX($B$8:B104)+1)</f>
        <v>0</v>
      </c>
      <c r="C105" s="191">
        <f>Dangchung!C105</f>
        <v>0</v>
      </c>
      <c r="D105" s="162">
        <f>IF(Dangchung!D105&lt;&gt;0,0,0)</f>
        <v>0</v>
      </c>
      <c r="E105" s="162">
        <f>IF(Dangchung!D105&lt;&gt;0,0,Dangchung!E105)</f>
        <v>0</v>
      </c>
      <c r="F105" s="123">
        <f>IF($E105=0,0,Dangchung!F105)</f>
        <v>0</v>
      </c>
      <c r="G105" s="123">
        <f>IF($E105=0,0,Dangchung!G105)</f>
        <v>0</v>
      </c>
      <c r="H105" s="123">
        <f>IF($E105=0,0,Dangchung!H105)</f>
        <v>0</v>
      </c>
      <c r="I105" s="125">
        <f>IF($E105=0,0,Dangchung!I105)</f>
        <v>0</v>
      </c>
      <c r="J105" s="125">
        <f>IF($E105=0,0,Dangchung!J105)</f>
        <v>0</v>
      </c>
      <c r="K105" s="123">
        <f>IF($E105=0,0,Dangchung!K105)</f>
        <v>0</v>
      </c>
      <c r="L105" s="123">
        <f>IF($E105=0,0,Dangchung!L105)</f>
        <v>0</v>
      </c>
      <c r="M105" s="123">
        <f>IF($E105=0,0,Dangchung!M105)</f>
        <v>0</v>
      </c>
      <c r="N105" s="123">
        <f>IF($E105=0,0,Dangchung!N105)</f>
        <v>0</v>
      </c>
      <c r="O105" s="123">
        <f>IF($E105=0,0,Dangchung!O105)</f>
        <v>0</v>
      </c>
      <c r="P105" s="123">
        <f>IF($E105=0,0,Dangchung!P105)</f>
        <v>0</v>
      </c>
      <c r="Q105" s="123">
        <f>IF($E105=0,0,Dangchung!Q105)</f>
        <v>0</v>
      </c>
      <c r="R105" s="123">
        <f>IF($E105=0,0,Dangchung!R105)</f>
        <v>0</v>
      </c>
      <c r="S105" s="123">
        <f>IF($E105=0,0,Dangchung!S105)</f>
        <v>0</v>
      </c>
      <c r="T105" s="123">
        <f>IF($E105=0,0,Dangchung!T105)</f>
        <v>0</v>
      </c>
      <c r="U105" s="123">
        <f>IF($E105=0,0,Dangchung!U105)</f>
        <v>0</v>
      </c>
      <c r="V105" s="123">
        <f>IF($E105=0,0,Dangchung!V105)</f>
        <v>0</v>
      </c>
      <c r="W105" s="241">
        <f>IF($E105=0,0,Dangchung!W105)</f>
        <v>0</v>
      </c>
      <c r="X105" s="241">
        <f>IF($E105=0,0,Dangchung!X105)</f>
        <v>0</v>
      </c>
      <c r="Y105" s="241">
        <f>IF($E105=0,0,Dangchung!Y105)</f>
        <v>0</v>
      </c>
      <c r="Z105" s="241">
        <f>IF($E105=0,0,Dangchung!Z105)</f>
        <v>0</v>
      </c>
      <c r="AA105" s="241">
        <f>IF($E105=0,0,Dangchung!AA105)</f>
        <v>0</v>
      </c>
      <c r="AB105" s="241">
        <f>IF($E105=0,0,Dangchung!AB105)</f>
        <v>0</v>
      </c>
      <c r="AC105" s="241">
        <f>IF($E105=0,0,Dangchung!AC105)</f>
        <v>0</v>
      </c>
      <c r="AD105" s="241">
        <f>IF($E105=0,0,Dangchung!AD105)</f>
        <v>0</v>
      </c>
      <c r="AE105" s="241">
        <f>IF($E105=0,0,Dangchung!AE105)</f>
        <v>0</v>
      </c>
      <c r="AF105" s="241">
        <f>IF($E105=0,0,Dangchung!AF105)</f>
        <v>0</v>
      </c>
      <c r="AG105" s="241">
        <f>IF($E105=0,0,Dangchung!AG105)</f>
        <v>0</v>
      </c>
      <c r="AH105" s="241">
        <f>IF($E105=0,0,Dangchung!AH105)</f>
        <v>0</v>
      </c>
      <c r="AI105" s="241">
        <f>IF($E105=0,0,Dangchung!AI105)</f>
        <v>0</v>
      </c>
      <c r="AJ105" s="241">
        <f>IF($E105=0,0,Dangchung!AJ105)</f>
        <v>0</v>
      </c>
      <c r="AK105" s="241">
        <f>IF($E105=0,0,Dangchung!AK105)</f>
        <v>0</v>
      </c>
      <c r="AL105" s="212"/>
    </row>
    <row r="106" spans="1:38" hidden="1" x14ac:dyDescent="0.25">
      <c r="A106" s="220"/>
      <c r="B106" s="252">
        <f>IF(E106=0,0,MAX($B$8:B105)+1)</f>
        <v>0</v>
      </c>
      <c r="C106" s="245">
        <f>Dangchung!C106</f>
        <v>0</v>
      </c>
      <c r="D106" s="244">
        <f>IF(Dangchung!D106&lt;&gt;0,0,0)</f>
        <v>0</v>
      </c>
      <c r="E106" s="244">
        <f>IF(Dangchung!D106&lt;&gt;0,0,Dangchung!E106)</f>
        <v>0</v>
      </c>
      <c r="F106" s="247">
        <f>IF($E106=0,0,Dangchung!F106)</f>
        <v>0</v>
      </c>
      <c r="G106" s="247">
        <f>IF($E106=0,0,Dangchung!G106)</f>
        <v>0</v>
      </c>
      <c r="H106" s="247">
        <f>IF($E106=0,0,Dangchung!H106)</f>
        <v>0</v>
      </c>
      <c r="I106" s="248">
        <f>IF($E106=0,0,Dangchung!I106)</f>
        <v>0</v>
      </c>
      <c r="J106" s="248">
        <f>IF($E106=0,0,Dangchung!J106)</f>
        <v>0</v>
      </c>
      <c r="K106" s="247">
        <f>IF($E106=0,0,Dangchung!K106)</f>
        <v>0</v>
      </c>
      <c r="L106" s="247">
        <f>IF($E106=0,0,Dangchung!L106)</f>
        <v>0</v>
      </c>
      <c r="M106" s="247">
        <f>IF($E106=0,0,Dangchung!M106)</f>
        <v>0</v>
      </c>
      <c r="N106" s="247">
        <f>IF($E106=0,0,Dangchung!N106)</f>
        <v>0</v>
      </c>
      <c r="O106" s="247">
        <f>IF($E106=0,0,Dangchung!O106)</f>
        <v>0</v>
      </c>
      <c r="P106" s="247">
        <f>IF($E106=0,0,Dangchung!P106)</f>
        <v>0</v>
      </c>
      <c r="Q106" s="247">
        <f>IF($E106=0,0,Dangchung!Q106)</f>
        <v>0</v>
      </c>
      <c r="R106" s="247">
        <f>IF($E106=0,0,Dangchung!R106)</f>
        <v>0</v>
      </c>
      <c r="S106" s="247">
        <f>IF($E106=0,0,Dangchung!S106)</f>
        <v>0</v>
      </c>
      <c r="T106" s="247">
        <f>IF($E106=0,0,Dangchung!T106)</f>
        <v>0</v>
      </c>
      <c r="U106" s="247">
        <f>IF($E106=0,0,Dangchung!U106)</f>
        <v>0</v>
      </c>
      <c r="V106" s="247">
        <f>IF($E106=0,0,Dangchung!V106)</f>
        <v>0</v>
      </c>
      <c r="W106" s="249">
        <f>IF($E106=0,0,Dangchung!W106)</f>
        <v>0</v>
      </c>
      <c r="X106" s="249">
        <f>IF($E106=0,0,Dangchung!X106)</f>
        <v>0</v>
      </c>
      <c r="Y106" s="249">
        <f>IF($E106=0,0,Dangchung!Y106)</f>
        <v>0</v>
      </c>
      <c r="Z106" s="249">
        <f>IF($E106=0,0,Dangchung!Z106)</f>
        <v>0</v>
      </c>
      <c r="AA106" s="249">
        <f>IF($E106=0,0,Dangchung!AA106)</f>
        <v>0</v>
      </c>
      <c r="AB106" s="249">
        <f>IF($E106=0,0,Dangchung!AB106)</f>
        <v>0</v>
      </c>
      <c r="AC106" s="249">
        <f>IF($E106=0,0,Dangchung!AC106)</f>
        <v>0</v>
      </c>
      <c r="AD106" s="249">
        <f>IF($E106=0,0,Dangchung!AD106)</f>
        <v>0</v>
      </c>
      <c r="AE106" s="249">
        <f>IF($E106=0,0,Dangchung!AE106)</f>
        <v>0</v>
      </c>
      <c r="AF106" s="249">
        <f>IF($E106=0,0,Dangchung!AF106)</f>
        <v>0</v>
      </c>
      <c r="AG106" s="249">
        <f>IF($E106=0,0,Dangchung!AG106)</f>
        <v>0</v>
      </c>
      <c r="AH106" s="249">
        <f>IF($E106=0,0,Dangchung!AH106)</f>
        <v>0</v>
      </c>
      <c r="AI106" s="249">
        <f>IF($E106=0,0,Dangchung!AI106)</f>
        <v>0</v>
      </c>
      <c r="AJ106" s="249">
        <f>IF($E106=0,0,Dangchung!AJ106)</f>
        <v>0</v>
      </c>
      <c r="AK106" s="249">
        <f>IF($E106=0,0,Dangchung!AK106)</f>
        <v>0</v>
      </c>
      <c r="AL106" s="212"/>
    </row>
    <row r="107" spans="1:38" x14ac:dyDescent="0.25">
      <c r="A107" s="220"/>
      <c r="B107" s="253"/>
      <c r="C107" s="254"/>
      <c r="D107" s="255"/>
      <c r="E107" s="255" t="s">
        <v>41</v>
      </c>
      <c r="F107" s="250">
        <f>COUNTIF(F8:F106,"x")</f>
        <v>19</v>
      </c>
      <c r="G107" s="250">
        <f>COUNTA(G8:G106)-COUNT(G8:G106)</f>
        <v>20</v>
      </c>
      <c r="H107" s="250">
        <f>COUNTA(H8:H106)-COUNT(H8:H106)</f>
        <v>19</v>
      </c>
      <c r="I107" s="251"/>
      <c r="J107" s="251"/>
      <c r="K107" s="250"/>
      <c r="L107" s="250"/>
      <c r="M107" s="250"/>
      <c r="N107" s="250"/>
      <c r="O107" s="250"/>
      <c r="P107" s="250"/>
      <c r="Q107" s="250"/>
      <c r="R107" s="250"/>
      <c r="S107" s="250"/>
      <c r="T107" s="250"/>
      <c r="U107" s="250"/>
      <c r="V107" s="250"/>
      <c r="W107" s="250"/>
      <c r="X107" s="250"/>
      <c r="Y107" s="250"/>
      <c r="Z107" s="250"/>
      <c r="AA107" s="250"/>
      <c r="AB107" s="250"/>
      <c r="AC107" s="250"/>
      <c r="AD107" s="250"/>
      <c r="AE107" s="250"/>
      <c r="AF107" s="250"/>
      <c r="AG107" s="250"/>
      <c r="AH107" s="250"/>
      <c r="AI107" s="250">
        <f>COUNTA(AI8:AI106)-COUNT(AI8:AI106)</f>
        <v>38</v>
      </c>
      <c r="AJ107" s="250"/>
      <c r="AK107" s="250"/>
      <c r="AL107" s="212"/>
    </row>
    <row r="108" spans="1:38" ht="7.5" customHeight="1" x14ac:dyDescent="0.25">
      <c r="A108" s="221"/>
      <c r="B108" s="222"/>
      <c r="C108" s="222"/>
      <c r="D108" s="222"/>
      <c r="E108" s="222"/>
      <c r="F108" s="222"/>
      <c r="G108" s="222"/>
      <c r="H108" s="222"/>
      <c r="I108" s="222"/>
      <c r="J108" s="222"/>
      <c r="K108" s="222"/>
      <c r="L108" s="222"/>
      <c r="M108" s="222"/>
      <c r="N108" s="222"/>
      <c r="O108" s="222"/>
      <c r="P108" s="222"/>
      <c r="Q108" s="222"/>
      <c r="R108" s="222"/>
      <c r="S108" s="222"/>
      <c r="T108" s="222"/>
      <c r="U108" s="222"/>
      <c r="V108" s="222"/>
      <c r="W108" s="222"/>
      <c r="X108" s="222"/>
      <c r="Y108" s="222"/>
      <c r="Z108" s="222"/>
      <c r="AA108" s="222"/>
      <c r="AB108" s="222"/>
      <c r="AC108" s="222"/>
      <c r="AD108" s="222"/>
      <c r="AE108" s="222"/>
      <c r="AF108" s="222"/>
      <c r="AG108" s="222"/>
      <c r="AH108" s="222"/>
      <c r="AI108" s="222"/>
      <c r="AJ108" s="222"/>
      <c r="AK108" s="222"/>
      <c r="AL108" s="223"/>
    </row>
    <row r="109" spans="1:38" x14ac:dyDescent="0.25">
      <c r="B109" s="115" t="str">
        <f>IF(E109="","",MAX($B108:B108)+1)</f>
        <v/>
      </c>
    </row>
  </sheetData>
  <autoFilter ref="B7:AK107">
    <filterColumn colId="3">
      <customFilters>
        <customFilter operator="notEqual" val=" "/>
      </customFilters>
    </filterColumn>
  </autoFilter>
  <dataConsolidate/>
  <mergeCells count="35">
    <mergeCell ref="O4:O6"/>
    <mergeCell ref="B4:B6"/>
    <mergeCell ref="C4:C6"/>
    <mergeCell ref="D4:D6"/>
    <mergeCell ref="E4:E6"/>
    <mergeCell ref="F4:F6"/>
    <mergeCell ref="G4:H5"/>
    <mergeCell ref="I4:J5"/>
    <mergeCell ref="K4:K6"/>
    <mergeCell ref="L4:L6"/>
    <mergeCell ref="M4:M6"/>
    <mergeCell ref="N4:N6"/>
    <mergeCell ref="P4:P6"/>
    <mergeCell ref="Q4:Q6"/>
    <mergeCell ref="R4:AC4"/>
    <mergeCell ref="AD4:AD6"/>
    <mergeCell ref="AE4:AF4"/>
    <mergeCell ref="Y5:Y6"/>
    <mergeCell ref="Z5:Z6"/>
    <mergeCell ref="AA5:AA6"/>
    <mergeCell ref="AB5:AB6"/>
    <mergeCell ref="AK4:AK6"/>
    <mergeCell ref="R5:R6"/>
    <mergeCell ref="S5:S6"/>
    <mergeCell ref="T5:T6"/>
    <mergeCell ref="U5:U6"/>
    <mergeCell ref="V5:V6"/>
    <mergeCell ref="W5:W6"/>
    <mergeCell ref="X5:X6"/>
    <mergeCell ref="AG4:AJ4"/>
    <mergeCell ref="AC5:AC6"/>
    <mergeCell ref="AE5:AE6"/>
    <mergeCell ref="AF5:AF6"/>
    <mergeCell ref="AG5:AG6"/>
    <mergeCell ref="AH5:AJ5"/>
  </mergeCells>
  <conditionalFormatting sqref="D9:H106 D107:F107 AJ107:AK107 J9:AK106 D8:AK8 J107:AH107">
    <cfRule type="containsText" dxfId="6" priority="4" operator="containsText" text="x">
      <formula>NOT(ISERROR(SEARCH("x",D8)))</formula>
    </cfRule>
  </conditionalFormatting>
  <conditionalFormatting sqref="I9:I107">
    <cfRule type="containsText" dxfId="5" priority="3" operator="containsText" text="x">
      <formula>NOT(ISERROR(SEARCH("x",I9)))</formula>
    </cfRule>
  </conditionalFormatting>
  <conditionalFormatting sqref="G107:H107">
    <cfRule type="containsText" dxfId="4" priority="2" operator="containsText" text="x">
      <formula>NOT(ISERROR(SEARCH("x",G107)))</formula>
    </cfRule>
  </conditionalFormatting>
  <conditionalFormatting sqref="AI107">
    <cfRule type="containsText" dxfId="3" priority="1" operator="containsText" text="x">
      <formula>NOT(ISERROR(SEARCH("x",AI107)))</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topLeftCell="A11" workbookViewId="0">
      <selection activeCell="I19" sqref="I19:I20"/>
    </sheetView>
  </sheetViews>
  <sheetFormatPr defaultColWidth="10.140625" defaultRowHeight="15" x14ac:dyDescent="0.25"/>
  <cols>
    <col min="1" max="1" width="4" style="482" customWidth="1"/>
    <col min="2" max="2" width="31" style="480" customWidth="1"/>
    <col min="3" max="3" width="9.140625" style="480" customWidth="1"/>
    <col min="4" max="7" width="7" style="480" customWidth="1"/>
    <col min="8" max="8" width="11.42578125" style="480" customWidth="1"/>
    <col min="9" max="9" width="10" style="480" customWidth="1"/>
    <col min="10" max="10" width="8.5703125" style="480" customWidth="1"/>
    <col min="11" max="11" width="8.140625" style="480" customWidth="1"/>
    <col min="12" max="12" width="14.28515625" style="480" customWidth="1"/>
    <col min="13" max="13" width="17.7109375" style="480" customWidth="1"/>
    <col min="14" max="256" width="10.140625" style="480"/>
    <col min="257" max="257" width="4" style="480" customWidth="1"/>
    <col min="258" max="258" width="26.85546875" style="480" customWidth="1"/>
    <col min="259" max="259" width="10.85546875" style="480" customWidth="1"/>
    <col min="260" max="263" width="7.5703125" style="480" customWidth="1"/>
    <col min="264" max="264" width="9.7109375" style="480" customWidth="1"/>
    <col min="265" max="265" width="10" style="480" customWidth="1"/>
    <col min="266" max="266" width="8.5703125" style="480" customWidth="1"/>
    <col min="267" max="267" width="8.140625" style="480" customWidth="1"/>
    <col min="268" max="268" width="14.28515625" style="480" customWidth="1"/>
    <col min="269" max="269" width="18" style="480" customWidth="1"/>
    <col min="270" max="512" width="10.140625" style="480"/>
    <col min="513" max="513" width="4" style="480" customWidth="1"/>
    <col min="514" max="514" width="26.85546875" style="480" customWidth="1"/>
    <col min="515" max="515" width="10.85546875" style="480" customWidth="1"/>
    <col min="516" max="519" width="7.5703125" style="480" customWidth="1"/>
    <col min="520" max="520" width="9.7109375" style="480" customWidth="1"/>
    <col min="521" max="521" width="10" style="480" customWidth="1"/>
    <col min="522" max="522" width="8.5703125" style="480" customWidth="1"/>
    <col min="523" max="523" width="8.140625" style="480" customWidth="1"/>
    <col min="524" max="524" width="14.28515625" style="480" customWidth="1"/>
    <col min="525" max="525" width="18" style="480" customWidth="1"/>
    <col min="526" max="768" width="10.140625" style="480"/>
    <col min="769" max="769" width="4" style="480" customWidth="1"/>
    <col min="770" max="770" width="26.85546875" style="480" customWidth="1"/>
    <col min="771" max="771" width="10.85546875" style="480" customWidth="1"/>
    <col min="772" max="775" width="7.5703125" style="480" customWidth="1"/>
    <col min="776" max="776" width="9.7109375" style="480" customWidth="1"/>
    <col min="777" max="777" width="10" style="480" customWidth="1"/>
    <col min="778" max="778" width="8.5703125" style="480" customWidth="1"/>
    <col min="779" max="779" width="8.140625" style="480" customWidth="1"/>
    <col min="780" max="780" width="14.28515625" style="480" customWidth="1"/>
    <col min="781" max="781" width="18" style="480" customWidth="1"/>
    <col min="782" max="1024" width="10.140625" style="480"/>
    <col min="1025" max="1025" width="4" style="480" customWidth="1"/>
    <col min="1026" max="1026" width="26.85546875" style="480" customWidth="1"/>
    <col min="1027" max="1027" width="10.85546875" style="480" customWidth="1"/>
    <col min="1028" max="1031" width="7.5703125" style="480" customWidth="1"/>
    <col min="1032" max="1032" width="9.7109375" style="480" customWidth="1"/>
    <col min="1033" max="1033" width="10" style="480" customWidth="1"/>
    <col min="1034" max="1034" width="8.5703125" style="480" customWidth="1"/>
    <col min="1035" max="1035" width="8.140625" style="480" customWidth="1"/>
    <col min="1036" max="1036" width="14.28515625" style="480" customWidth="1"/>
    <col min="1037" max="1037" width="18" style="480" customWidth="1"/>
    <col min="1038" max="1280" width="10.140625" style="480"/>
    <col min="1281" max="1281" width="4" style="480" customWidth="1"/>
    <col min="1282" max="1282" width="26.85546875" style="480" customWidth="1"/>
    <col min="1283" max="1283" width="10.85546875" style="480" customWidth="1"/>
    <col min="1284" max="1287" width="7.5703125" style="480" customWidth="1"/>
    <col min="1288" max="1288" width="9.7109375" style="480" customWidth="1"/>
    <col min="1289" max="1289" width="10" style="480" customWidth="1"/>
    <col min="1290" max="1290" width="8.5703125" style="480" customWidth="1"/>
    <col min="1291" max="1291" width="8.140625" style="480" customWidth="1"/>
    <col min="1292" max="1292" width="14.28515625" style="480" customWidth="1"/>
    <col min="1293" max="1293" width="18" style="480" customWidth="1"/>
    <col min="1294" max="1536" width="10.140625" style="480"/>
    <col min="1537" max="1537" width="4" style="480" customWidth="1"/>
    <col min="1538" max="1538" width="26.85546875" style="480" customWidth="1"/>
    <col min="1539" max="1539" width="10.85546875" style="480" customWidth="1"/>
    <col min="1540" max="1543" width="7.5703125" style="480" customWidth="1"/>
    <col min="1544" max="1544" width="9.7109375" style="480" customWidth="1"/>
    <col min="1545" max="1545" width="10" style="480" customWidth="1"/>
    <col min="1546" max="1546" width="8.5703125" style="480" customWidth="1"/>
    <col min="1547" max="1547" width="8.140625" style="480" customWidth="1"/>
    <col min="1548" max="1548" width="14.28515625" style="480" customWidth="1"/>
    <col min="1549" max="1549" width="18" style="480" customWidth="1"/>
    <col min="1550" max="1792" width="10.140625" style="480"/>
    <col min="1793" max="1793" width="4" style="480" customWidth="1"/>
    <col min="1794" max="1794" width="26.85546875" style="480" customWidth="1"/>
    <col min="1795" max="1795" width="10.85546875" style="480" customWidth="1"/>
    <col min="1796" max="1799" width="7.5703125" style="480" customWidth="1"/>
    <col min="1800" max="1800" width="9.7109375" style="480" customWidth="1"/>
    <col min="1801" max="1801" width="10" style="480" customWidth="1"/>
    <col min="1802" max="1802" width="8.5703125" style="480" customWidth="1"/>
    <col min="1803" max="1803" width="8.140625" style="480" customWidth="1"/>
    <col min="1804" max="1804" width="14.28515625" style="480" customWidth="1"/>
    <col min="1805" max="1805" width="18" style="480" customWidth="1"/>
    <col min="1806" max="2048" width="10.140625" style="480"/>
    <col min="2049" max="2049" width="4" style="480" customWidth="1"/>
    <col min="2050" max="2050" width="26.85546875" style="480" customWidth="1"/>
    <col min="2051" max="2051" width="10.85546875" style="480" customWidth="1"/>
    <col min="2052" max="2055" width="7.5703125" style="480" customWidth="1"/>
    <col min="2056" max="2056" width="9.7109375" style="480" customWidth="1"/>
    <col min="2057" max="2057" width="10" style="480" customWidth="1"/>
    <col min="2058" max="2058" width="8.5703125" style="480" customWidth="1"/>
    <col min="2059" max="2059" width="8.140625" style="480" customWidth="1"/>
    <col min="2060" max="2060" width="14.28515625" style="480" customWidth="1"/>
    <col min="2061" max="2061" width="18" style="480" customWidth="1"/>
    <col min="2062" max="2304" width="10.140625" style="480"/>
    <col min="2305" max="2305" width="4" style="480" customWidth="1"/>
    <col min="2306" max="2306" width="26.85546875" style="480" customWidth="1"/>
    <col min="2307" max="2307" width="10.85546875" style="480" customWidth="1"/>
    <col min="2308" max="2311" width="7.5703125" style="480" customWidth="1"/>
    <col min="2312" max="2312" width="9.7109375" style="480" customWidth="1"/>
    <col min="2313" max="2313" width="10" style="480" customWidth="1"/>
    <col min="2314" max="2314" width="8.5703125" style="480" customWidth="1"/>
    <col min="2315" max="2315" width="8.140625" style="480" customWidth="1"/>
    <col min="2316" max="2316" width="14.28515625" style="480" customWidth="1"/>
    <col min="2317" max="2317" width="18" style="480" customWidth="1"/>
    <col min="2318" max="2560" width="10.140625" style="480"/>
    <col min="2561" max="2561" width="4" style="480" customWidth="1"/>
    <col min="2562" max="2562" width="26.85546875" style="480" customWidth="1"/>
    <col min="2563" max="2563" width="10.85546875" style="480" customWidth="1"/>
    <col min="2564" max="2567" width="7.5703125" style="480" customWidth="1"/>
    <col min="2568" max="2568" width="9.7109375" style="480" customWidth="1"/>
    <col min="2569" max="2569" width="10" style="480" customWidth="1"/>
    <col min="2570" max="2570" width="8.5703125" style="480" customWidth="1"/>
    <col min="2571" max="2571" width="8.140625" style="480" customWidth="1"/>
    <col min="2572" max="2572" width="14.28515625" style="480" customWidth="1"/>
    <col min="2573" max="2573" width="18" style="480" customWidth="1"/>
    <col min="2574" max="2816" width="10.140625" style="480"/>
    <col min="2817" max="2817" width="4" style="480" customWidth="1"/>
    <col min="2818" max="2818" width="26.85546875" style="480" customWidth="1"/>
    <col min="2819" max="2819" width="10.85546875" style="480" customWidth="1"/>
    <col min="2820" max="2823" width="7.5703125" style="480" customWidth="1"/>
    <col min="2824" max="2824" width="9.7109375" style="480" customWidth="1"/>
    <col min="2825" max="2825" width="10" style="480" customWidth="1"/>
    <col min="2826" max="2826" width="8.5703125" style="480" customWidth="1"/>
    <col min="2827" max="2827" width="8.140625" style="480" customWidth="1"/>
    <col min="2828" max="2828" width="14.28515625" style="480" customWidth="1"/>
    <col min="2829" max="2829" width="18" style="480" customWidth="1"/>
    <col min="2830" max="3072" width="10.140625" style="480"/>
    <col min="3073" max="3073" width="4" style="480" customWidth="1"/>
    <col min="3074" max="3074" width="26.85546875" style="480" customWidth="1"/>
    <col min="3075" max="3075" width="10.85546875" style="480" customWidth="1"/>
    <col min="3076" max="3079" width="7.5703125" style="480" customWidth="1"/>
    <col min="3080" max="3080" width="9.7109375" style="480" customWidth="1"/>
    <col min="3081" max="3081" width="10" style="480" customWidth="1"/>
    <col min="3082" max="3082" width="8.5703125" style="480" customWidth="1"/>
    <col min="3083" max="3083" width="8.140625" style="480" customWidth="1"/>
    <col min="3084" max="3084" width="14.28515625" style="480" customWidth="1"/>
    <col min="3085" max="3085" width="18" style="480" customWidth="1"/>
    <col min="3086" max="3328" width="10.140625" style="480"/>
    <col min="3329" max="3329" width="4" style="480" customWidth="1"/>
    <col min="3330" max="3330" width="26.85546875" style="480" customWidth="1"/>
    <col min="3331" max="3331" width="10.85546875" style="480" customWidth="1"/>
    <col min="3332" max="3335" width="7.5703125" style="480" customWidth="1"/>
    <col min="3336" max="3336" width="9.7109375" style="480" customWidth="1"/>
    <col min="3337" max="3337" width="10" style="480" customWidth="1"/>
    <col min="3338" max="3338" width="8.5703125" style="480" customWidth="1"/>
    <col min="3339" max="3339" width="8.140625" style="480" customWidth="1"/>
    <col min="3340" max="3340" width="14.28515625" style="480" customWidth="1"/>
    <col min="3341" max="3341" width="18" style="480" customWidth="1"/>
    <col min="3342" max="3584" width="10.140625" style="480"/>
    <col min="3585" max="3585" width="4" style="480" customWidth="1"/>
    <col min="3586" max="3586" width="26.85546875" style="480" customWidth="1"/>
    <col min="3587" max="3587" width="10.85546875" style="480" customWidth="1"/>
    <col min="3588" max="3591" width="7.5703125" style="480" customWidth="1"/>
    <col min="3592" max="3592" width="9.7109375" style="480" customWidth="1"/>
    <col min="3593" max="3593" width="10" style="480" customWidth="1"/>
    <col min="3594" max="3594" width="8.5703125" style="480" customWidth="1"/>
    <col min="3595" max="3595" width="8.140625" style="480" customWidth="1"/>
    <col min="3596" max="3596" width="14.28515625" style="480" customWidth="1"/>
    <col min="3597" max="3597" width="18" style="480" customWidth="1"/>
    <col min="3598" max="3840" width="10.140625" style="480"/>
    <col min="3841" max="3841" width="4" style="480" customWidth="1"/>
    <col min="3842" max="3842" width="26.85546875" style="480" customWidth="1"/>
    <col min="3843" max="3843" width="10.85546875" style="480" customWidth="1"/>
    <col min="3844" max="3847" width="7.5703125" style="480" customWidth="1"/>
    <col min="3848" max="3848" width="9.7109375" style="480" customWidth="1"/>
    <col min="3849" max="3849" width="10" style="480" customWidth="1"/>
    <col min="3850" max="3850" width="8.5703125" style="480" customWidth="1"/>
    <col min="3851" max="3851" width="8.140625" style="480" customWidth="1"/>
    <col min="3852" max="3852" width="14.28515625" style="480" customWidth="1"/>
    <col min="3853" max="3853" width="18" style="480" customWidth="1"/>
    <col min="3854" max="4096" width="10.140625" style="480"/>
    <col min="4097" max="4097" width="4" style="480" customWidth="1"/>
    <col min="4098" max="4098" width="26.85546875" style="480" customWidth="1"/>
    <col min="4099" max="4099" width="10.85546875" style="480" customWidth="1"/>
    <col min="4100" max="4103" width="7.5703125" style="480" customWidth="1"/>
    <col min="4104" max="4104" width="9.7109375" style="480" customWidth="1"/>
    <col min="4105" max="4105" width="10" style="480" customWidth="1"/>
    <col min="4106" max="4106" width="8.5703125" style="480" customWidth="1"/>
    <col min="4107" max="4107" width="8.140625" style="480" customWidth="1"/>
    <col min="4108" max="4108" width="14.28515625" style="480" customWidth="1"/>
    <col min="4109" max="4109" width="18" style="480" customWidth="1"/>
    <col min="4110" max="4352" width="10.140625" style="480"/>
    <col min="4353" max="4353" width="4" style="480" customWidth="1"/>
    <col min="4354" max="4354" width="26.85546875" style="480" customWidth="1"/>
    <col min="4355" max="4355" width="10.85546875" style="480" customWidth="1"/>
    <col min="4356" max="4359" width="7.5703125" style="480" customWidth="1"/>
    <col min="4360" max="4360" width="9.7109375" style="480" customWidth="1"/>
    <col min="4361" max="4361" width="10" style="480" customWidth="1"/>
    <col min="4362" max="4362" width="8.5703125" style="480" customWidth="1"/>
    <col min="4363" max="4363" width="8.140625" style="480" customWidth="1"/>
    <col min="4364" max="4364" width="14.28515625" style="480" customWidth="1"/>
    <col min="4365" max="4365" width="18" style="480" customWidth="1"/>
    <col min="4366" max="4608" width="10.140625" style="480"/>
    <col min="4609" max="4609" width="4" style="480" customWidth="1"/>
    <col min="4610" max="4610" width="26.85546875" style="480" customWidth="1"/>
    <col min="4611" max="4611" width="10.85546875" style="480" customWidth="1"/>
    <col min="4612" max="4615" width="7.5703125" style="480" customWidth="1"/>
    <col min="4616" max="4616" width="9.7109375" style="480" customWidth="1"/>
    <col min="4617" max="4617" width="10" style="480" customWidth="1"/>
    <col min="4618" max="4618" width="8.5703125" style="480" customWidth="1"/>
    <col min="4619" max="4619" width="8.140625" style="480" customWidth="1"/>
    <col min="4620" max="4620" width="14.28515625" style="480" customWidth="1"/>
    <col min="4621" max="4621" width="18" style="480" customWidth="1"/>
    <col min="4622" max="4864" width="10.140625" style="480"/>
    <col min="4865" max="4865" width="4" style="480" customWidth="1"/>
    <col min="4866" max="4866" width="26.85546875" style="480" customWidth="1"/>
    <col min="4867" max="4867" width="10.85546875" style="480" customWidth="1"/>
    <col min="4868" max="4871" width="7.5703125" style="480" customWidth="1"/>
    <col min="4872" max="4872" width="9.7109375" style="480" customWidth="1"/>
    <col min="4873" max="4873" width="10" style="480" customWidth="1"/>
    <col min="4874" max="4874" width="8.5703125" style="480" customWidth="1"/>
    <col min="4875" max="4875" width="8.140625" style="480" customWidth="1"/>
    <col min="4876" max="4876" width="14.28515625" style="480" customWidth="1"/>
    <col min="4877" max="4877" width="18" style="480" customWidth="1"/>
    <col min="4878" max="5120" width="10.140625" style="480"/>
    <col min="5121" max="5121" width="4" style="480" customWidth="1"/>
    <col min="5122" max="5122" width="26.85546875" style="480" customWidth="1"/>
    <col min="5123" max="5123" width="10.85546875" style="480" customWidth="1"/>
    <col min="5124" max="5127" width="7.5703125" style="480" customWidth="1"/>
    <col min="5128" max="5128" width="9.7109375" style="480" customWidth="1"/>
    <col min="5129" max="5129" width="10" style="480" customWidth="1"/>
    <col min="5130" max="5130" width="8.5703125" style="480" customWidth="1"/>
    <col min="5131" max="5131" width="8.140625" style="480" customWidth="1"/>
    <col min="5132" max="5132" width="14.28515625" style="480" customWidth="1"/>
    <col min="5133" max="5133" width="18" style="480" customWidth="1"/>
    <col min="5134" max="5376" width="10.140625" style="480"/>
    <col min="5377" max="5377" width="4" style="480" customWidth="1"/>
    <col min="5378" max="5378" width="26.85546875" style="480" customWidth="1"/>
    <col min="5379" max="5379" width="10.85546875" style="480" customWidth="1"/>
    <col min="5380" max="5383" width="7.5703125" style="480" customWidth="1"/>
    <col min="5384" max="5384" width="9.7109375" style="480" customWidth="1"/>
    <col min="5385" max="5385" width="10" style="480" customWidth="1"/>
    <col min="5386" max="5386" width="8.5703125" style="480" customWidth="1"/>
    <col min="5387" max="5387" width="8.140625" style="480" customWidth="1"/>
    <col min="5388" max="5388" width="14.28515625" style="480" customWidth="1"/>
    <col min="5389" max="5389" width="18" style="480" customWidth="1"/>
    <col min="5390" max="5632" width="10.140625" style="480"/>
    <col min="5633" max="5633" width="4" style="480" customWidth="1"/>
    <col min="5634" max="5634" width="26.85546875" style="480" customWidth="1"/>
    <col min="5635" max="5635" width="10.85546875" style="480" customWidth="1"/>
    <col min="5636" max="5639" width="7.5703125" style="480" customWidth="1"/>
    <col min="5640" max="5640" width="9.7109375" style="480" customWidth="1"/>
    <col min="5641" max="5641" width="10" style="480" customWidth="1"/>
    <col min="5642" max="5642" width="8.5703125" style="480" customWidth="1"/>
    <col min="5643" max="5643" width="8.140625" style="480" customWidth="1"/>
    <col min="5644" max="5644" width="14.28515625" style="480" customWidth="1"/>
    <col min="5645" max="5645" width="18" style="480" customWidth="1"/>
    <col min="5646" max="5888" width="10.140625" style="480"/>
    <col min="5889" max="5889" width="4" style="480" customWidth="1"/>
    <col min="5890" max="5890" width="26.85546875" style="480" customWidth="1"/>
    <col min="5891" max="5891" width="10.85546875" style="480" customWidth="1"/>
    <col min="5892" max="5895" width="7.5703125" style="480" customWidth="1"/>
    <col min="5896" max="5896" width="9.7109375" style="480" customWidth="1"/>
    <col min="5897" max="5897" width="10" style="480" customWidth="1"/>
    <col min="5898" max="5898" width="8.5703125" style="480" customWidth="1"/>
    <col min="5899" max="5899" width="8.140625" style="480" customWidth="1"/>
    <col min="5900" max="5900" width="14.28515625" style="480" customWidth="1"/>
    <col min="5901" max="5901" width="18" style="480" customWidth="1"/>
    <col min="5902" max="6144" width="10.140625" style="480"/>
    <col min="6145" max="6145" width="4" style="480" customWidth="1"/>
    <col min="6146" max="6146" width="26.85546875" style="480" customWidth="1"/>
    <col min="6147" max="6147" width="10.85546875" style="480" customWidth="1"/>
    <col min="6148" max="6151" width="7.5703125" style="480" customWidth="1"/>
    <col min="6152" max="6152" width="9.7109375" style="480" customWidth="1"/>
    <col min="6153" max="6153" width="10" style="480" customWidth="1"/>
    <col min="6154" max="6154" width="8.5703125" style="480" customWidth="1"/>
    <col min="6155" max="6155" width="8.140625" style="480" customWidth="1"/>
    <col min="6156" max="6156" width="14.28515625" style="480" customWidth="1"/>
    <col min="6157" max="6157" width="18" style="480" customWidth="1"/>
    <col min="6158" max="6400" width="10.140625" style="480"/>
    <col min="6401" max="6401" width="4" style="480" customWidth="1"/>
    <col min="6402" max="6402" width="26.85546875" style="480" customWidth="1"/>
    <col min="6403" max="6403" width="10.85546875" style="480" customWidth="1"/>
    <col min="6404" max="6407" width="7.5703125" style="480" customWidth="1"/>
    <col min="6408" max="6408" width="9.7109375" style="480" customWidth="1"/>
    <col min="6409" max="6409" width="10" style="480" customWidth="1"/>
    <col min="6410" max="6410" width="8.5703125" style="480" customWidth="1"/>
    <col min="6411" max="6411" width="8.140625" style="480" customWidth="1"/>
    <col min="6412" max="6412" width="14.28515625" style="480" customWidth="1"/>
    <col min="6413" max="6413" width="18" style="480" customWidth="1"/>
    <col min="6414" max="6656" width="10.140625" style="480"/>
    <col min="6657" max="6657" width="4" style="480" customWidth="1"/>
    <col min="6658" max="6658" width="26.85546875" style="480" customWidth="1"/>
    <col min="6659" max="6659" width="10.85546875" style="480" customWidth="1"/>
    <col min="6660" max="6663" width="7.5703125" style="480" customWidth="1"/>
    <col min="6664" max="6664" width="9.7109375" style="480" customWidth="1"/>
    <col min="6665" max="6665" width="10" style="480" customWidth="1"/>
    <col min="6666" max="6666" width="8.5703125" style="480" customWidth="1"/>
    <col min="6667" max="6667" width="8.140625" style="480" customWidth="1"/>
    <col min="6668" max="6668" width="14.28515625" style="480" customWidth="1"/>
    <col min="6669" max="6669" width="18" style="480" customWidth="1"/>
    <col min="6670" max="6912" width="10.140625" style="480"/>
    <col min="6913" max="6913" width="4" style="480" customWidth="1"/>
    <col min="6914" max="6914" width="26.85546875" style="480" customWidth="1"/>
    <col min="6915" max="6915" width="10.85546875" style="480" customWidth="1"/>
    <col min="6916" max="6919" width="7.5703125" style="480" customWidth="1"/>
    <col min="6920" max="6920" width="9.7109375" style="480" customWidth="1"/>
    <col min="6921" max="6921" width="10" style="480" customWidth="1"/>
    <col min="6922" max="6922" width="8.5703125" style="480" customWidth="1"/>
    <col min="6923" max="6923" width="8.140625" style="480" customWidth="1"/>
    <col min="6924" max="6924" width="14.28515625" style="480" customWidth="1"/>
    <col min="6925" max="6925" width="18" style="480" customWidth="1"/>
    <col min="6926" max="7168" width="10.140625" style="480"/>
    <col min="7169" max="7169" width="4" style="480" customWidth="1"/>
    <col min="7170" max="7170" width="26.85546875" style="480" customWidth="1"/>
    <col min="7171" max="7171" width="10.85546875" style="480" customWidth="1"/>
    <col min="7172" max="7175" width="7.5703125" style="480" customWidth="1"/>
    <col min="7176" max="7176" width="9.7109375" style="480" customWidth="1"/>
    <col min="7177" max="7177" width="10" style="480" customWidth="1"/>
    <col min="7178" max="7178" width="8.5703125" style="480" customWidth="1"/>
    <col min="7179" max="7179" width="8.140625" style="480" customWidth="1"/>
    <col min="7180" max="7180" width="14.28515625" style="480" customWidth="1"/>
    <col min="7181" max="7181" width="18" style="480" customWidth="1"/>
    <col min="7182" max="7424" width="10.140625" style="480"/>
    <col min="7425" max="7425" width="4" style="480" customWidth="1"/>
    <col min="7426" max="7426" width="26.85546875" style="480" customWidth="1"/>
    <col min="7427" max="7427" width="10.85546875" style="480" customWidth="1"/>
    <col min="7428" max="7431" width="7.5703125" style="480" customWidth="1"/>
    <col min="7432" max="7432" width="9.7109375" style="480" customWidth="1"/>
    <col min="7433" max="7433" width="10" style="480" customWidth="1"/>
    <col min="7434" max="7434" width="8.5703125" style="480" customWidth="1"/>
    <col min="7435" max="7435" width="8.140625" style="480" customWidth="1"/>
    <col min="7436" max="7436" width="14.28515625" style="480" customWidth="1"/>
    <col min="7437" max="7437" width="18" style="480" customWidth="1"/>
    <col min="7438" max="7680" width="10.140625" style="480"/>
    <col min="7681" max="7681" width="4" style="480" customWidth="1"/>
    <col min="7682" max="7682" width="26.85546875" style="480" customWidth="1"/>
    <col min="7683" max="7683" width="10.85546875" style="480" customWidth="1"/>
    <col min="7684" max="7687" width="7.5703125" style="480" customWidth="1"/>
    <col min="7688" max="7688" width="9.7109375" style="480" customWidth="1"/>
    <col min="7689" max="7689" width="10" style="480" customWidth="1"/>
    <col min="7690" max="7690" width="8.5703125" style="480" customWidth="1"/>
    <col min="7691" max="7691" width="8.140625" style="480" customWidth="1"/>
    <col min="7692" max="7692" width="14.28515625" style="480" customWidth="1"/>
    <col min="7693" max="7693" width="18" style="480" customWidth="1"/>
    <col min="7694" max="7936" width="10.140625" style="480"/>
    <col min="7937" max="7937" width="4" style="480" customWidth="1"/>
    <col min="7938" max="7938" width="26.85546875" style="480" customWidth="1"/>
    <col min="7939" max="7939" width="10.85546875" style="480" customWidth="1"/>
    <col min="7940" max="7943" width="7.5703125" style="480" customWidth="1"/>
    <col min="7944" max="7944" width="9.7109375" style="480" customWidth="1"/>
    <col min="7945" max="7945" width="10" style="480" customWidth="1"/>
    <col min="7946" max="7946" width="8.5703125" style="480" customWidth="1"/>
    <col min="7947" max="7947" width="8.140625" style="480" customWidth="1"/>
    <col min="7948" max="7948" width="14.28515625" style="480" customWidth="1"/>
    <col min="7949" max="7949" width="18" style="480" customWidth="1"/>
    <col min="7950" max="8192" width="10.140625" style="480"/>
    <col min="8193" max="8193" width="4" style="480" customWidth="1"/>
    <col min="8194" max="8194" width="26.85546875" style="480" customWidth="1"/>
    <col min="8195" max="8195" width="10.85546875" style="480" customWidth="1"/>
    <col min="8196" max="8199" width="7.5703125" style="480" customWidth="1"/>
    <col min="8200" max="8200" width="9.7109375" style="480" customWidth="1"/>
    <col min="8201" max="8201" width="10" style="480" customWidth="1"/>
    <col min="8202" max="8202" width="8.5703125" style="480" customWidth="1"/>
    <col min="8203" max="8203" width="8.140625" style="480" customWidth="1"/>
    <col min="8204" max="8204" width="14.28515625" style="480" customWidth="1"/>
    <col min="8205" max="8205" width="18" style="480" customWidth="1"/>
    <col min="8206" max="8448" width="10.140625" style="480"/>
    <col min="8449" max="8449" width="4" style="480" customWidth="1"/>
    <col min="8450" max="8450" width="26.85546875" style="480" customWidth="1"/>
    <col min="8451" max="8451" width="10.85546875" style="480" customWidth="1"/>
    <col min="8452" max="8455" width="7.5703125" style="480" customWidth="1"/>
    <col min="8456" max="8456" width="9.7109375" style="480" customWidth="1"/>
    <col min="8457" max="8457" width="10" style="480" customWidth="1"/>
    <col min="8458" max="8458" width="8.5703125" style="480" customWidth="1"/>
    <col min="8459" max="8459" width="8.140625" style="480" customWidth="1"/>
    <col min="8460" max="8460" width="14.28515625" style="480" customWidth="1"/>
    <col min="8461" max="8461" width="18" style="480" customWidth="1"/>
    <col min="8462" max="8704" width="10.140625" style="480"/>
    <col min="8705" max="8705" width="4" style="480" customWidth="1"/>
    <col min="8706" max="8706" width="26.85546875" style="480" customWidth="1"/>
    <col min="8707" max="8707" width="10.85546875" style="480" customWidth="1"/>
    <col min="8708" max="8711" width="7.5703125" style="480" customWidth="1"/>
    <col min="8712" max="8712" width="9.7109375" style="480" customWidth="1"/>
    <col min="8713" max="8713" width="10" style="480" customWidth="1"/>
    <col min="8714" max="8714" width="8.5703125" style="480" customWidth="1"/>
    <col min="8715" max="8715" width="8.140625" style="480" customWidth="1"/>
    <col min="8716" max="8716" width="14.28515625" style="480" customWidth="1"/>
    <col min="8717" max="8717" width="18" style="480" customWidth="1"/>
    <col min="8718" max="8960" width="10.140625" style="480"/>
    <col min="8961" max="8961" width="4" style="480" customWidth="1"/>
    <col min="8962" max="8962" width="26.85546875" style="480" customWidth="1"/>
    <col min="8963" max="8963" width="10.85546875" style="480" customWidth="1"/>
    <col min="8964" max="8967" width="7.5703125" style="480" customWidth="1"/>
    <col min="8968" max="8968" width="9.7109375" style="480" customWidth="1"/>
    <col min="8969" max="8969" width="10" style="480" customWidth="1"/>
    <col min="8970" max="8970" width="8.5703125" style="480" customWidth="1"/>
    <col min="8971" max="8971" width="8.140625" style="480" customWidth="1"/>
    <col min="8972" max="8972" width="14.28515625" style="480" customWidth="1"/>
    <col min="8973" max="8973" width="18" style="480" customWidth="1"/>
    <col min="8974" max="9216" width="10.140625" style="480"/>
    <col min="9217" max="9217" width="4" style="480" customWidth="1"/>
    <col min="9218" max="9218" width="26.85546875" style="480" customWidth="1"/>
    <col min="9219" max="9219" width="10.85546875" style="480" customWidth="1"/>
    <col min="9220" max="9223" width="7.5703125" style="480" customWidth="1"/>
    <col min="9224" max="9224" width="9.7109375" style="480" customWidth="1"/>
    <col min="9225" max="9225" width="10" style="480" customWidth="1"/>
    <col min="9226" max="9226" width="8.5703125" style="480" customWidth="1"/>
    <col min="9227" max="9227" width="8.140625" style="480" customWidth="1"/>
    <col min="9228" max="9228" width="14.28515625" style="480" customWidth="1"/>
    <col min="9229" max="9229" width="18" style="480" customWidth="1"/>
    <col min="9230" max="9472" width="10.140625" style="480"/>
    <col min="9473" max="9473" width="4" style="480" customWidth="1"/>
    <col min="9474" max="9474" width="26.85546875" style="480" customWidth="1"/>
    <col min="9475" max="9475" width="10.85546875" style="480" customWidth="1"/>
    <col min="9476" max="9479" width="7.5703125" style="480" customWidth="1"/>
    <col min="9480" max="9480" width="9.7109375" style="480" customWidth="1"/>
    <col min="9481" max="9481" width="10" style="480" customWidth="1"/>
    <col min="9482" max="9482" width="8.5703125" style="480" customWidth="1"/>
    <col min="9483" max="9483" width="8.140625" style="480" customWidth="1"/>
    <col min="9484" max="9484" width="14.28515625" style="480" customWidth="1"/>
    <col min="9485" max="9485" width="18" style="480" customWidth="1"/>
    <col min="9486" max="9728" width="10.140625" style="480"/>
    <col min="9729" max="9729" width="4" style="480" customWidth="1"/>
    <col min="9730" max="9730" width="26.85546875" style="480" customWidth="1"/>
    <col min="9731" max="9731" width="10.85546875" style="480" customWidth="1"/>
    <col min="9732" max="9735" width="7.5703125" style="480" customWidth="1"/>
    <col min="9736" max="9736" width="9.7109375" style="480" customWidth="1"/>
    <col min="9737" max="9737" width="10" style="480" customWidth="1"/>
    <col min="9738" max="9738" width="8.5703125" style="480" customWidth="1"/>
    <col min="9739" max="9739" width="8.140625" style="480" customWidth="1"/>
    <col min="9740" max="9740" width="14.28515625" style="480" customWidth="1"/>
    <col min="9741" max="9741" width="18" style="480" customWidth="1"/>
    <col min="9742" max="9984" width="10.140625" style="480"/>
    <col min="9985" max="9985" width="4" style="480" customWidth="1"/>
    <col min="9986" max="9986" width="26.85546875" style="480" customWidth="1"/>
    <col min="9987" max="9987" width="10.85546875" style="480" customWidth="1"/>
    <col min="9988" max="9991" width="7.5703125" style="480" customWidth="1"/>
    <col min="9992" max="9992" width="9.7109375" style="480" customWidth="1"/>
    <col min="9993" max="9993" width="10" style="480" customWidth="1"/>
    <col min="9994" max="9994" width="8.5703125" style="480" customWidth="1"/>
    <col min="9995" max="9995" width="8.140625" style="480" customWidth="1"/>
    <col min="9996" max="9996" width="14.28515625" style="480" customWidth="1"/>
    <col min="9997" max="9997" width="18" style="480" customWidth="1"/>
    <col min="9998" max="10240" width="10.140625" style="480"/>
    <col min="10241" max="10241" width="4" style="480" customWidth="1"/>
    <col min="10242" max="10242" width="26.85546875" style="480" customWidth="1"/>
    <col min="10243" max="10243" width="10.85546875" style="480" customWidth="1"/>
    <col min="10244" max="10247" width="7.5703125" style="480" customWidth="1"/>
    <col min="10248" max="10248" width="9.7109375" style="480" customWidth="1"/>
    <col min="10249" max="10249" width="10" style="480" customWidth="1"/>
    <col min="10250" max="10250" width="8.5703125" style="480" customWidth="1"/>
    <col min="10251" max="10251" width="8.140625" style="480" customWidth="1"/>
    <col min="10252" max="10252" width="14.28515625" style="480" customWidth="1"/>
    <col min="10253" max="10253" width="18" style="480" customWidth="1"/>
    <col min="10254" max="10496" width="10.140625" style="480"/>
    <col min="10497" max="10497" width="4" style="480" customWidth="1"/>
    <col min="10498" max="10498" width="26.85546875" style="480" customWidth="1"/>
    <col min="10499" max="10499" width="10.85546875" style="480" customWidth="1"/>
    <col min="10500" max="10503" width="7.5703125" style="480" customWidth="1"/>
    <col min="10504" max="10504" width="9.7109375" style="480" customWidth="1"/>
    <col min="10505" max="10505" width="10" style="480" customWidth="1"/>
    <col min="10506" max="10506" width="8.5703125" style="480" customWidth="1"/>
    <col min="10507" max="10507" width="8.140625" style="480" customWidth="1"/>
    <col min="10508" max="10508" width="14.28515625" style="480" customWidth="1"/>
    <col min="10509" max="10509" width="18" style="480" customWidth="1"/>
    <col min="10510" max="10752" width="10.140625" style="480"/>
    <col min="10753" max="10753" width="4" style="480" customWidth="1"/>
    <col min="10754" max="10754" width="26.85546875" style="480" customWidth="1"/>
    <col min="10755" max="10755" width="10.85546875" style="480" customWidth="1"/>
    <col min="10756" max="10759" width="7.5703125" style="480" customWidth="1"/>
    <col min="10760" max="10760" width="9.7109375" style="480" customWidth="1"/>
    <col min="10761" max="10761" width="10" style="480" customWidth="1"/>
    <col min="10762" max="10762" width="8.5703125" style="480" customWidth="1"/>
    <col min="10763" max="10763" width="8.140625" style="480" customWidth="1"/>
    <col min="10764" max="10764" width="14.28515625" style="480" customWidth="1"/>
    <col min="10765" max="10765" width="18" style="480" customWidth="1"/>
    <col min="10766" max="11008" width="10.140625" style="480"/>
    <col min="11009" max="11009" width="4" style="480" customWidth="1"/>
    <col min="11010" max="11010" width="26.85546875" style="480" customWidth="1"/>
    <col min="11011" max="11011" width="10.85546875" style="480" customWidth="1"/>
    <col min="11012" max="11015" width="7.5703125" style="480" customWidth="1"/>
    <col min="11016" max="11016" width="9.7109375" style="480" customWidth="1"/>
    <col min="11017" max="11017" width="10" style="480" customWidth="1"/>
    <col min="11018" max="11018" width="8.5703125" style="480" customWidth="1"/>
    <col min="11019" max="11019" width="8.140625" style="480" customWidth="1"/>
    <col min="11020" max="11020" width="14.28515625" style="480" customWidth="1"/>
    <col min="11021" max="11021" width="18" style="480" customWidth="1"/>
    <col min="11022" max="11264" width="10.140625" style="480"/>
    <col min="11265" max="11265" width="4" style="480" customWidth="1"/>
    <col min="11266" max="11266" width="26.85546875" style="480" customWidth="1"/>
    <col min="11267" max="11267" width="10.85546875" style="480" customWidth="1"/>
    <col min="11268" max="11271" width="7.5703125" style="480" customWidth="1"/>
    <col min="11272" max="11272" width="9.7109375" style="480" customWidth="1"/>
    <col min="11273" max="11273" width="10" style="480" customWidth="1"/>
    <col min="11274" max="11274" width="8.5703125" style="480" customWidth="1"/>
    <col min="11275" max="11275" width="8.140625" style="480" customWidth="1"/>
    <col min="11276" max="11276" width="14.28515625" style="480" customWidth="1"/>
    <col min="11277" max="11277" width="18" style="480" customWidth="1"/>
    <col min="11278" max="11520" width="10.140625" style="480"/>
    <col min="11521" max="11521" width="4" style="480" customWidth="1"/>
    <col min="11522" max="11522" width="26.85546875" style="480" customWidth="1"/>
    <col min="11523" max="11523" width="10.85546875" style="480" customWidth="1"/>
    <col min="11524" max="11527" width="7.5703125" style="480" customWidth="1"/>
    <col min="11528" max="11528" width="9.7109375" style="480" customWidth="1"/>
    <col min="11529" max="11529" width="10" style="480" customWidth="1"/>
    <col min="11530" max="11530" width="8.5703125" style="480" customWidth="1"/>
    <col min="11531" max="11531" width="8.140625" style="480" customWidth="1"/>
    <col min="11532" max="11532" width="14.28515625" style="480" customWidth="1"/>
    <col min="11533" max="11533" width="18" style="480" customWidth="1"/>
    <col min="11534" max="11776" width="10.140625" style="480"/>
    <col min="11777" max="11777" width="4" style="480" customWidth="1"/>
    <col min="11778" max="11778" width="26.85546875" style="480" customWidth="1"/>
    <col min="11779" max="11779" width="10.85546875" style="480" customWidth="1"/>
    <col min="11780" max="11783" width="7.5703125" style="480" customWidth="1"/>
    <col min="11784" max="11784" width="9.7109375" style="480" customWidth="1"/>
    <col min="11785" max="11785" width="10" style="480" customWidth="1"/>
    <col min="11786" max="11786" width="8.5703125" style="480" customWidth="1"/>
    <col min="11787" max="11787" width="8.140625" style="480" customWidth="1"/>
    <col min="11788" max="11788" width="14.28515625" style="480" customWidth="1"/>
    <col min="11789" max="11789" width="18" style="480" customWidth="1"/>
    <col min="11790" max="12032" width="10.140625" style="480"/>
    <col min="12033" max="12033" width="4" style="480" customWidth="1"/>
    <col min="12034" max="12034" width="26.85546875" style="480" customWidth="1"/>
    <col min="12035" max="12035" width="10.85546875" style="480" customWidth="1"/>
    <col min="12036" max="12039" width="7.5703125" style="480" customWidth="1"/>
    <col min="12040" max="12040" width="9.7109375" style="480" customWidth="1"/>
    <col min="12041" max="12041" width="10" style="480" customWidth="1"/>
    <col min="12042" max="12042" width="8.5703125" style="480" customWidth="1"/>
    <col min="12043" max="12043" width="8.140625" style="480" customWidth="1"/>
    <col min="12044" max="12044" width="14.28515625" style="480" customWidth="1"/>
    <col min="12045" max="12045" width="18" style="480" customWidth="1"/>
    <col min="12046" max="12288" width="10.140625" style="480"/>
    <col min="12289" max="12289" width="4" style="480" customWidth="1"/>
    <col min="12290" max="12290" width="26.85546875" style="480" customWidth="1"/>
    <col min="12291" max="12291" width="10.85546875" style="480" customWidth="1"/>
    <col min="12292" max="12295" width="7.5703125" style="480" customWidth="1"/>
    <col min="12296" max="12296" width="9.7109375" style="480" customWidth="1"/>
    <col min="12297" max="12297" width="10" style="480" customWidth="1"/>
    <col min="12298" max="12298" width="8.5703125" style="480" customWidth="1"/>
    <col min="12299" max="12299" width="8.140625" style="480" customWidth="1"/>
    <col min="12300" max="12300" width="14.28515625" style="480" customWidth="1"/>
    <col min="12301" max="12301" width="18" style="480" customWidth="1"/>
    <col min="12302" max="12544" width="10.140625" style="480"/>
    <col min="12545" max="12545" width="4" style="480" customWidth="1"/>
    <col min="12546" max="12546" width="26.85546875" style="480" customWidth="1"/>
    <col min="12547" max="12547" width="10.85546875" style="480" customWidth="1"/>
    <col min="12548" max="12551" width="7.5703125" style="480" customWidth="1"/>
    <col min="12552" max="12552" width="9.7109375" style="480" customWidth="1"/>
    <col min="12553" max="12553" width="10" style="480" customWidth="1"/>
    <col min="12554" max="12554" width="8.5703125" style="480" customWidth="1"/>
    <col min="12555" max="12555" width="8.140625" style="480" customWidth="1"/>
    <col min="12556" max="12556" width="14.28515625" style="480" customWidth="1"/>
    <col min="12557" max="12557" width="18" style="480" customWidth="1"/>
    <col min="12558" max="12800" width="10.140625" style="480"/>
    <col min="12801" max="12801" width="4" style="480" customWidth="1"/>
    <col min="12802" max="12802" width="26.85546875" style="480" customWidth="1"/>
    <col min="12803" max="12803" width="10.85546875" style="480" customWidth="1"/>
    <col min="12804" max="12807" width="7.5703125" style="480" customWidth="1"/>
    <col min="12808" max="12808" width="9.7109375" style="480" customWidth="1"/>
    <col min="12809" max="12809" width="10" style="480" customWidth="1"/>
    <col min="12810" max="12810" width="8.5703125" style="480" customWidth="1"/>
    <col min="12811" max="12811" width="8.140625" style="480" customWidth="1"/>
    <col min="12812" max="12812" width="14.28515625" style="480" customWidth="1"/>
    <col min="12813" max="12813" width="18" style="480" customWidth="1"/>
    <col min="12814" max="13056" width="10.140625" style="480"/>
    <col min="13057" max="13057" width="4" style="480" customWidth="1"/>
    <col min="13058" max="13058" width="26.85546875" style="480" customWidth="1"/>
    <col min="13059" max="13059" width="10.85546875" style="480" customWidth="1"/>
    <col min="13060" max="13063" width="7.5703125" style="480" customWidth="1"/>
    <col min="13064" max="13064" width="9.7109375" style="480" customWidth="1"/>
    <col min="13065" max="13065" width="10" style="480" customWidth="1"/>
    <col min="13066" max="13066" width="8.5703125" style="480" customWidth="1"/>
    <col min="13067" max="13067" width="8.140625" style="480" customWidth="1"/>
    <col min="13068" max="13068" width="14.28515625" style="480" customWidth="1"/>
    <col min="13069" max="13069" width="18" style="480" customWidth="1"/>
    <col min="13070" max="13312" width="10.140625" style="480"/>
    <col min="13313" max="13313" width="4" style="480" customWidth="1"/>
    <col min="13314" max="13314" width="26.85546875" style="480" customWidth="1"/>
    <col min="13315" max="13315" width="10.85546875" style="480" customWidth="1"/>
    <col min="13316" max="13319" width="7.5703125" style="480" customWidth="1"/>
    <col min="13320" max="13320" width="9.7109375" style="480" customWidth="1"/>
    <col min="13321" max="13321" width="10" style="480" customWidth="1"/>
    <col min="13322" max="13322" width="8.5703125" style="480" customWidth="1"/>
    <col min="13323" max="13323" width="8.140625" style="480" customWidth="1"/>
    <col min="13324" max="13324" width="14.28515625" style="480" customWidth="1"/>
    <col min="13325" max="13325" width="18" style="480" customWidth="1"/>
    <col min="13326" max="13568" width="10.140625" style="480"/>
    <col min="13569" max="13569" width="4" style="480" customWidth="1"/>
    <col min="13570" max="13570" width="26.85546875" style="480" customWidth="1"/>
    <col min="13571" max="13571" width="10.85546875" style="480" customWidth="1"/>
    <col min="13572" max="13575" width="7.5703125" style="480" customWidth="1"/>
    <col min="13576" max="13576" width="9.7109375" style="480" customWidth="1"/>
    <col min="13577" max="13577" width="10" style="480" customWidth="1"/>
    <col min="13578" max="13578" width="8.5703125" style="480" customWidth="1"/>
    <col min="13579" max="13579" width="8.140625" style="480" customWidth="1"/>
    <col min="13580" max="13580" width="14.28515625" style="480" customWidth="1"/>
    <col min="13581" max="13581" width="18" style="480" customWidth="1"/>
    <col min="13582" max="13824" width="10.140625" style="480"/>
    <col min="13825" max="13825" width="4" style="480" customWidth="1"/>
    <col min="13826" max="13826" width="26.85546875" style="480" customWidth="1"/>
    <col min="13827" max="13827" width="10.85546875" style="480" customWidth="1"/>
    <col min="13828" max="13831" width="7.5703125" style="480" customWidth="1"/>
    <col min="13832" max="13832" width="9.7109375" style="480" customWidth="1"/>
    <col min="13833" max="13833" width="10" style="480" customWidth="1"/>
    <col min="13834" max="13834" width="8.5703125" style="480" customWidth="1"/>
    <col min="13835" max="13835" width="8.140625" style="480" customWidth="1"/>
    <col min="13836" max="13836" width="14.28515625" style="480" customWidth="1"/>
    <col min="13837" max="13837" width="18" style="480" customWidth="1"/>
    <col min="13838" max="14080" width="10.140625" style="480"/>
    <col min="14081" max="14081" width="4" style="480" customWidth="1"/>
    <col min="14082" max="14082" width="26.85546875" style="480" customWidth="1"/>
    <col min="14083" max="14083" width="10.85546875" style="480" customWidth="1"/>
    <col min="14084" max="14087" width="7.5703125" style="480" customWidth="1"/>
    <col min="14088" max="14088" width="9.7109375" style="480" customWidth="1"/>
    <col min="14089" max="14089" width="10" style="480" customWidth="1"/>
    <col min="14090" max="14090" width="8.5703125" style="480" customWidth="1"/>
    <col min="14091" max="14091" width="8.140625" style="480" customWidth="1"/>
    <col min="14092" max="14092" width="14.28515625" style="480" customWidth="1"/>
    <col min="14093" max="14093" width="18" style="480" customWidth="1"/>
    <col min="14094" max="14336" width="10.140625" style="480"/>
    <col min="14337" max="14337" width="4" style="480" customWidth="1"/>
    <col min="14338" max="14338" width="26.85546875" style="480" customWidth="1"/>
    <col min="14339" max="14339" width="10.85546875" style="480" customWidth="1"/>
    <col min="14340" max="14343" width="7.5703125" style="480" customWidth="1"/>
    <col min="14344" max="14344" width="9.7109375" style="480" customWidth="1"/>
    <col min="14345" max="14345" width="10" style="480" customWidth="1"/>
    <col min="14346" max="14346" width="8.5703125" style="480" customWidth="1"/>
    <col min="14347" max="14347" width="8.140625" style="480" customWidth="1"/>
    <col min="14348" max="14348" width="14.28515625" style="480" customWidth="1"/>
    <col min="14349" max="14349" width="18" style="480" customWidth="1"/>
    <col min="14350" max="14592" width="10.140625" style="480"/>
    <col min="14593" max="14593" width="4" style="480" customWidth="1"/>
    <col min="14594" max="14594" width="26.85546875" style="480" customWidth="1"/>
    <col min="14595" max="14595" width="10.85546875" style="480" customWidth="1"/>
    <col min="14596" max="14599" width="7.5703125" style="480" customWidth="1"/>
    <col min="14600" max="14600" width="9.7109375" style="480" customWidth="1"/>
    <col min="14601" max="14601" width="10" style="480" customWidth="1"/>
    <col min="14602" max="14602" width="8.5703125" style="480" customWidth="1"/>
    <col min="14603" max="14603" width="8.140625" style="480" customWidth="1"/>
    <col min="14604" max="14604" width="14.28515625" style="480" customWidth="1"/>
    <col min="14605" max="14605" width="18" style="480" customWidth="1"/>
    <col min="14606" max="14848" width="10.140625" style="480"/>
    <col min="14849" max="14849" width="4" style="480" customWidth="1"/>
    <col min="14850" max="14850" width="26.85546875" style="480" customWidth="1"/>
    <col min="14851" max="14851" width="10.85546875" style="480" customWidth="1"/>
    <col min="14852" max="14855" width="7.5703125" style="480" customWidth="1"/>
    <col min="14856" max="14856" width="9.7109375" style="480" customWidth="1"/>
    <col min="14857" max="14857" width="10" style="480" customWidth="1"/>
    <col min="14858" max="14858" width="8.5703125" style="480" customWidth="1"/>
    <col min="14859" max="14859" width="8.140625" style="480" customWidth="1"/>
    <col min="14860" max="14860" width="14.28515625" style="480" customWidth="1"/>
    <col min="14861" max="14861" width="18" style="480" customWidth="1"/>
    <col min="14862" max="15104" width="10.140625" style="480"/>
    <col min="15105" max="15105" width="4" style="480" customWidth="1"/>
    <col min="15106" max="15106" width="26.85546875" style="480" customWidth="1"/>
    <col min="15107" max="15107" width="10.85546875" style="480" customWidth="1"/>
    <col min="15108" max="15111" width="7.5703125" style="480" customWidth="1"/>
    <col min="15112" max="15112" width="9.7109375" style="480" customWidth="1"/>
    <col min="15113" max="15113" width="10" style="480" customWidth="1"/>
    <col min="15114" max="15114" width="8.5703125" style="480" customWidth="1"/>
    <col min="15115" max="15115" width="8.140625" style="480" customWidth="1"/>
    <col min="15116" max="15116" width="14.28515625" style="480" customWidth="1"/>
    <col min="15117" max="15117" width="18" style="480" customWidth="1"/>
    <col min="15118" max="15360" width="10.140625" style="480"/>
    <col min="15361" max="15361" width="4" style="480" customWidth="1"/>
    <col min="15362" max="15362" width="26.85546875" style="480" customWidth="1"/>
    <col min="15363" max="15363" width="10.85546875" style="480" customWidth="1"/>
    <col min="15364" max="15367" width="7.5703125" style="480" customWidth="1"/>
    <col min="15368" max="15368" width="9.7109375" style="480" customWidth="1"/>
    <col min="15369" max="15369" width="10" style="480" customWidth="1"/>
    <col min="15370" max="15370" width="8.5703125" style="480" customWidth="1"/>
    <col min="15371" max="15371" width="8.140625" style="480" customWidth="1"/>
    <col min="15372" max="15372" width="14.28515625" style="480" customWidth="1"/>
    <col min="15373" max="15373" width="18" style="480" customWidth="1"/>
    <col min="15374" max="15616" width="10.140625" style="480"/>
    <col min="15617" max="15617" width="4" style="480" customWidth="1"/>
    <col min="15618" max="15618" width="26.85546875" style="480" customWidth="1"/>
    <col min="15619" max="15619" width="10.85546875" style="480" customWidth="1"/>
    <col min="15620" max="15623" width="7.5703125" style="480" customWidth="1"/>
    <col min="15624" max="15624" width="9.7109375" style="480" customWidth="1"/>
    <col min="15625" max="15625" width="10" style="480" customWidth="1"/>
    <col min="15626" max="15626" width="8.5703125" style="480" customWidth="1"/>
    <col min="15627" max="15627" width="8.140625" style="480" customWidth="1"/>
    <col min="15628" max="15628" width="14.28515625" style="480" customWidth="1"/>
    <col min="15629" max="15629" width="18" style="480" customWidth="1"/>
    <col min="15630" max="15872" width="10.140625" style="480"/>
    <col min="15873" max="15873" width="4" style="480" customWidth="1"/>
    <col min="15874" max="15874" width="26.85546875" style="480" customWidth="1"/>
    <col min="15875" max="15875" width="10.85546875" style="480" customWidth="1"/>
    <col min="15876" max="15879" width="7.5703125" style="480" customWidth="1"/>
    <col min="15880" max="15880" width="9.7109375" style="480" customWidth="1"/>
    <col min="15881" max="15881" width="10" style="480" customWidth="1"/>
    <col min="15882" max="15882" width="8.5703125" style="480" customWidth="1"/>
    <col min="15883" max="15883" width="8.140625" style="480" customWidth="1"/>
    <col min="15884" max="15884" width="14.28515625" style="480" customWidth="1"/>
    <col min="15885" max="15885" width="18" style="480" customWidth="1"/>
    <col min="15886" max="16128" width="10.140625" style="480"/>
    <col min="16129" max="16129" width="4" style="480" customWidth="1"/>
    <col min="16130" max="16130" width="26.85546875" style="480" customWidth="1"/>
    <col min="16131" max="16131" width="10.85546875" style="480" customWidth="1"/>
    <col min="16132" max="16135" width="7.5703125" style="480" customWidth="1"/>
    <col min="16136" max="16136" width="9.7109375" style="480" customWidth="1"/>
    <col min="16137" max="16137" width="10" style="480" customWidth="1"/>
    <col min="16138" max="16138" width="8.5703125" style="480" customWidth="1"/>
    <col min="16139" max="16139" width="8.140625" style="480" customWidth="1"/>
    <col min="16140" max="16140" width="14.28515625" style="480" customWidth="1"/>
    <col min="16141" max="16141" width="18" style="480" customWidth="1"/>
    <col min="16142" max="16384" width="10.140625" style="480"/>
  </cols>
  <sheetData>
    <row r="1" spans="1:15" x14ac:dyDescent="0.25">
      <c r="A1" s="835" t="s">
        <v>1217</v>
      </c>
      <c r="B1" s="835"/>
      <c r="C1" s="835"/>
    </row>
    <row r="2" spans="1:15" ht="18.75" x14ac:dyDescent="0.3">
      <c r="A2" s="836" t="s">
        <v>1189</v>
      </c>
      <c r="B2" s="836"/>
      <c r="C2" s="836"/>
      <c r="D2" s="837" t="s">
        <v>1218</v>
      </c>
      <c r="E2" s="837"/>
      <c r="F2" s="837"/>
      <c r="G2" s="837"/>
      <c r="H2" s="837"/>
      <c r="I2" s="837"/>
      <c r="J2" s="837"/>
      <c r="K2" s="837"/>
      <c r="M2" s="481" t="s">
        <v>1190</v>
      </c>
    </row>
    <row r="3" spans="1:15" ht="16.5" x14ac:dyDescent="0.25">
      <c r="B3" s="484" t="s">
        <v>1219</v>
      </c>
      <c r="D3" s="838" t="s">
        <v>1191</v>
      </c>
      <c r="E3" s="838"/>
      <c r="F3" s="838"/>
      <c r="I3" s="483"/>
      <c r="M3" s="481"/>
    </row>
    <row r="4" spans="1:15" x14ac:dyDescent="0.25">
      <c r="A4" s="839"/>
      <c r="B4" s="839"/>
      <c r="C4" s="841" t="s">
        <v>1220</v>
      </c>
      <c r="D4" s="842"/>
      <c r="E4" s="842"/>
      <c r="F4" s="842"/>
      <c r="G4" s="842"/>
      <c r="H4" s="842"/>
      <c r="I4" s="842"/>
      <c r="J4" s="842"/>
      <c r="K4" s="843"/>
      <c r="L4" s="841" t="s">
        <v>1192</v>
      </c>
      <c r="M4" s="843"/>
    </row>
    <row r="5" spans="1:15" x14ac:dyDescent="0.25">
      <c r="A5" s="840"/>
      <c r="B5" s="840"/>
      <c r="C5" s="513" t="s">
        <v>1193</v>
      </c>
      <c r="D5" s="513" t="s">
        <v>1194</v>
      </c>
      <c r="E5" s="513" t="s">
        <v>1195</v>
      </c>
      <c r="F5" s="513" t="s">
        <v>1196</v>
      </c>
      <c r="G5" s="513" t="s">
        <v>1197</v>
      </c>
      <c r="H5" s="829" t="s">
        <v>1198</v>
      </c>
      <c r="I5" s="829" t="s">
        <v>1199</v>
      </c>
      <c r="J5" s="829" t="s">
        <v>523</v>
      </c>
      <c r="K5" s="829" t="s">
        <v>1200</v>
      </c>
      <c r="L5" s="829" t="s">
        <v>1201</v>
      </c>
      <c r="M5" s="829" t="s">
        <v>1202</v>
      </c>
    </row>
    <row r="6" spans="1:15" x14ac:dyDescent="0.25">
      <c r="A6" s="491">
        <v>1</v>
      </c>
      <c r="B6" s="492" t="s">
        <v>1203</v>
      </c>
      <c r="C6" s="493"/>
      <c r="D6" s="494" t="s">
        <v>1204</v>
      </c>
      <c r="E6" s="494" t="s">
        <v>1204</v>
      </c>
      <c r="F6" s="494" t="s">
        <v>1204</v>
      </c>
      <c r="G6" s="494" t="s">
        <v>1204</v>
      </c>
      <c r="H6" s="830"/>
      <c r="I6" s="830"/>
      <c r="J6" s="830"/>
      <c r="K6" s="830"/>
      <c r="L6" s="830"/>
      <c r="M6" s="830"/>
    </row>
    <row r="7" spans="1:15" x14ac:dyDescent="0.25">
      <c r="A7" s="495">
        <v>2</v>
      </c>
      <c r="B7" s="496" t="s">
        <v>1205</v>
      </c>
      <c r="C7" s="518">
        <f>SUM(D7:H7)</f>
        <v>33</v>
      </c>
      <c r="D7" s="495">
        <v>9</v>
      </c>
      <c r="E7" s="495">
        <v>9</v>
      </c>
      <c r="F7" s="495">
        <v>8</v>
      </c>
      <c r="G7" s="495">
        <v>7</v>
      </c>
      <c r="H7" s="830"/>
      <c r="I7" s="830"/>
      <c r="J7" s="830"/>
      <c r="K7" s="830"/>
      <c r="L7" s="830"/>
      <c r="M7" s="830"/>
    </row>
    <row r="8" spans="1:15" ht="15" customHeight="1" x14ac:dyDescent="0.25">
      <c r="A8" s="495">
        <v>3</v>
      </c>
      <c r="B8" s="496" t="s">
        <v>1206</v>
      </c>
      <c r="C8" s="519">
        <f>SUM(D8:H8)</f>
        <v>1306</v>
      </c>
      <c r="D8" s="486">
        <v>397</v>
      </c>
      <c r="E8" s="486">
        <v>347</v>
      </c>
      <c r="F8" s="486">
        <v>300</v>
      </c>
      <c r="G8" s="486">
        <v>262</v>
      </c>
      <c r="H8" s="831"/>
      <c r="I8" s="831"/>
      <c r="J8" s="831"/>
      <c r="K8" s="831"/>
      <c r="L8" s="831"/>
      <c r="M8" s="831"/>
    </row>
    <row r="9" spans="1:15" ht="21" customHeight="1" x14ac:dyDescent="0.25">
      <c r="A9" s="495">
        <v>4</v>
      </c>
      <c r="B9" s="496" t="s">
        <v>1207</v>
      </c>
      <c r="C9" s="520">
        <f>C8/C7</f>
        <v>39.575757575757578</v>
      </c>
      <c r="D9" s="514">
        <f>D8/D7</f>
        <v>44.111111111111114</v>
      </c>
      <c r="E9" s="514">
        <f>E8/E7</f>
        <v>38.555555555555557</v>
      </c>
      <c r="F9" s="514">
        <f>F8/F7</f>
        <v>37.5</v>
      </c>
      <c r="G9" s="514">
        <f>G8/G7</f>
        <v>37.428571428571431</v>
      </c>
      <c r="H9" s="829">
        <v>17</v>
      </c>
      <c r="I9" s="832">
        <f>C7/H9</f>
        <v>1.9411764705882353</v>
      </c>
      <c r="J9" s="829">
        <v>65</v>
      </c>
      <c r="K9" s="832">
        <f>J9/C7</f>
        <v>1.9696969696969697</v>
      </c>
      <c r="L9" s="853">
        <f>SUM(N9:O13)</f>
        <v>413</v>
      </c>
      <c r="M9" s="497" t="s">
        <v>1221</v>
      </c>
      <c r="N9" s="517">
        <v>155</v>
      </c>
      <c r="O9" s="517">
        <v>3</v>
      </c>
    </row>
    <row r="10" spans="1:15" x14ac:dyDescent="0.25">
      <c r="A10" s="495">
        <v>5</v>
      </c>
      <c r="B10" s="496" t="s">
        <v>1208</v>
      </c>
      <c r="C10" s="519">
        <f>SUM(D10:H10)</f>
        <v>17</v>
      </c>
      <c r="D10" s="498">
        <v>6</v>
      </c>
      <c r="E10" s="498">
        <v>5</v>
      </c>
      <c r="F10" s="498">
        <v>4</v>
      </c>
      <c r="G10" s="498">
        <v>2</v>
      </c>
      <c r="H10" s="830"/>
      <c r="I10" s="833"/>
      <c r="J10" s="830"/>
      <c r="K10" s="833"/>
      <c r="L10" s="854"/>
      <c r="M10" s="499" t="s">
        <v>1222</v>
      </c>
      <c r="N10" s="517">
        <v>121</v>
      </c>
      <c r="O10" s="517">
        <v>5</v>
      </c>
    </row>
    <row r="11" spans="1:15" x14ac:dyDescent="0.25">
      <c r="A11" s="495">
        <v>6</v>
      </c>
      <c r="B11" s="496" t="s">
        <v>1209</v>
      </c>
      <c r="C11" s="521">
        <f>C10/C8%</f>
        <v>1.3016845329249616</v>
      </c>
      <c r="D11" s="515">
        <f>D10/D8%</f>
        <v>1.5113350125944585</v>
      </c>
      <c r="E11" s="515">
        <f>E10/E8%</f>
        <v>1.4409221902017291</v>
      </c>
      <c r="F11" s="515">
        <f>F10/F8%</f>
        <v>1.3333333333333333</v>
      </c>
      <c r="G11" s="515">
        <f>G10/G8%</f>
        <v>0.76335877862595414</v>
      </c>
      <c r="H11" s="830"/>
      <c r="I11" s="833"/>
      <c r="J11" s="830"/>
      <c r="K11" s="833"/>
      <c r="L11" s="854"/>
      <c r="M11" s="499" t="s">
        <v>1223</v>
      </c>
      <c r="N11" s="517">
        <v>121</v>
      </c>
      <c r="O11" s="517"/>
    </row>
    <row r="12" spans="1:15" x14ac:dyDescent="0.25">
      <c r="A12" s="495">
        <v>7</v>
      </c>
      <c r="B12" s="496" t="s">
        <v>1210</v>
      </c>
      <c r="C12" s="519">
        <f>SUM(D12:H12)</f>
        <v>17</v>
      </c>
      <c r="D12" s="498">
        <v>5</v>
      </c>
      <c r="E12" s="498">
        <v>6</v>
      </c>
      <c r="F12" s="498">
        <v>4</v>
      </c>
      <c r="G12" s="498">
        <v>2</v>
      </c>
      <c r="H12" s="830"/>
      <c r="I12" s="833"/>
      <c r="J12" s="830"/>
      <c r="K12" s="833"/>
      <c r="L12" s="854"/>
      <c r="M12" s="499" t="s">
        <v>1224</v>
      </c>
      <c r="N12" s="517">
        <v>8</v>
      </c>
      <c r="O12" s="517"/>
    </row>
    <row r="13" spans="1:15" x14ac:dyDescent="0.25">
      <c r="A13" s="500">
        <v>8</v>
      </c>
      <c r="B13" s="501" t="s">
        <v>1225</v>
      </c>
      <c r="C13" s="522">
        <f>C12/C8%</f>
        <v>1.3016845329249616</v>
      </c>
      <c r="D13" s="516">
        <f>D12/D8%</f>
        <v>1.2594458438287153</v>
      </c>
      <c r="E13" s="516">
        <f>E12/E8%</f>
        <v>1.7291066282420748</v>
      </c>
      <c r="F13" s="516">
        <f>F12/F8%</f>
        <v>1.3333333333333333</v>
      </c>
      <c r="G13" s="516">
        <f>G12/G8%</f>
        <v>0.76335877862595414</v>
      </c>
      <c r="H13" s="831"/>
      <c r="I13" s="834"/>
      <c r="J13" s="831"/>
      <c r="K13" s="834"/>
      <c r="L13" s="855"/>
      <c r="M13" s="502" t="s">
        <v>1226</v>
      </c>
      <c r="N13" s="517"/>
      <c r="O13" s="517"/>
    </row>
    <row r="14" spans="1:15" x14ac:dyDescent="0.25">
      <c r="A14" s="503"/>
      <c r="C14" s="851" t="s">
        <v>1227</v>
      </c>
      <c r="D14" s="851"/>
      <c r="E14" s="851"/>
      <c r="F14" s="851"/>
      <c r="G14" s="851"/>
    </row>
    <row r="15" spans="1:15" x14ac:dyDescent="0.25">
      <c r="A15" s="504"/>
      <c r="B15" s="505"/>
      <c r="C15" s="490" t="s">
        <v>1193</v>
      </c>
      <c r="D15" s="506" t="s">
        <v>1194</v>
      </c>
      <c r="E15" s="506" t="s">
        <v>1195</v>
      </c>
      <c r="F15" s="506" t="s">
        <v>1196</v>
      </c>
      <c r="G15" s="506" t="s">
        <v>1197</v>
      </c>
      <c r="H15" s="829" t="s">
        <v>1211</v>
      </c>
      <c r="I15" s="829" t="s">
        <v>1212</v>
      </c>
      <c r="J15" s="829" t="s">
        <v>1213</v>
      </c>
      <c r="K15" s="829" t="s">
        <v>1214</v>
      </c>
      <c r="L15" s="829" t="s">
        <v>1215</v>
      </c>
      <c r="M15" s="829" t="s">
        <v>19</v>
      </c>
    </row>
    <row r="16" spans="1:15" ht="15.75" x14ac:dyDescent="0.25">
      <c r="A16" s="496">
        <v>9</v>
      </c>
      <c r="B16" s="507" t="s">
        <v>1228</v>
      </c>
      <c r="C16" s="523">
        <f>SUM(D16:H16)</f>
        <v>1014</v>
      </c>
      <c r="D16" s="508" t="s">
        <v>1204</v>
      </c>
      <c r="E16" s="526">
        <f>D8-(D10+D12)</f>
        <v>386</v>
      </c>
      <c r="F16" s="526">
        <f>E8-(E10+E12)</f>
        <v>336</v>
      </c>
      <c r="G16" s="526">
        <f>F8-(F10+F12)</f>
        <v>292</v>
      </c>
      <c r="H16" s="830"/>
      <c r="I16" s="830"/>
      <c r="J16" s="830"/>
      <c r="K16" s="830"/>
      <c r="L16" s="830"/>
      <c r="M16" s="830"/>
    </row>
    <row r="17" spans="1:13" ht="31.5" x14ac:dyDescent="0.25">
      <c r="A17" s="496">
        <v>10</v>
      </c>
      <c r="B17" s="507" t="s">
        <v>1229</v>
      </c>
      <c r="C17" s="523">
        <f>SUM(D17:H17)</f>
        <v>418</v>
      </c>
      <c r="D17" s="498">
        <v>413</v>
      </c>
      <c r="E17" s="498">
        <v>2</v>
      </c>
      <c r="F17" s="498">
        <v>2</v>
      </c>
      <c r="G17" s="498">
        <v>1</v>
      </c>
      <c r="H17" s="830"/>
      <c r="I17" s="830"/>
      <c r="J17" s="830"/>
      <c r="K17" s="830"/>
      <c r="L17" s="830"/>
      <c r="M17" s="830"/>
    </row>
    <row r="18" spans="1:13" ht="31.5" x14ac:dyDescent="0.25">
      <c r="A18" s="496">
        <v>11</v>
      </c>
      <c r="B18" s="507" t="s">
        <v>1230</v>
      </c>
      <c r="C18" s="523">
        <f>SUM(D18:H18)</f>
        <v>1449</v>
      </c>
      <c r="D18" s="527">
        <f>SUM(D16:D17)+D10</f>
        <v>419</v>
      </c>
      <c r="E18" s="527">
        <f>SUM(E16:E17)+E10</f>
        <v>393</v>
      </c>
      <c r="F18" s="527">
        <f>SUM(F16:F17)+F10</f>
        <v>342</v>
      </c>
      <c r="G18" s="527">
        <f>SUM(G16:G17)+G10</f>
        <v>295</v>
      </c>
      <c r="H18" s="831"/>
      <c r="I18" s="831"/>
      <c r="J18" s="831"/>
      <c r="K18" s="831"/>
      <c r="L18" s="831"/>
      <c r="M18" s="831"/>
    </row>
    <row r="19" spans="1:13" x14ac:dyDescent="0.25">
      <c r="A19" s="496">
        <v>12</v>
      </c>
      <c r="B19" s="496" t="s">
        <v>1205</v>
      </c>
      <c r="C19" s="524">
        <f>D19+E19+F19+G19</f>
        <v>36</v>
      </c>
      <c r="D19" s="509">
        <v>10</v>
      </c>
      <c r="E19" s="509">
        <v>9</v>
      </c>
      <c r="F19" s="509">
        <v>9</v>
      </c>
      <c r="G19" s="509">
        <v>8</v>
      </c>
      <c r="H19" s="844">
        <f>C19/I19</f>
        <v>2</v>
      </c>
      <c r="I19" s="846">
        <v>18</v>
      </c>
      <c r="J19" s="844">
        <f>K19/C19</f>
        <v>1.8999999999999997</v>
      </c>
      <c r="K19" s="848">
        <f>C19*1.9</f>
        <v>68.399999999999991</v>
      </c>
      <c r="L19" s="850"/>
      <c r="M19" s="510"/>
    </row>
    <row r="20" spans="1:13" x14ac:dyDescent="0.25">
      <c r="A20" s="501">
        <v>13</v>
      </c>
      <c r="B20" s="501" t="s">
        <v>1207</v>
      </c>
      <c r="C20" s="525">
        <f>C18/C19</f>
        <v>40.25</v>
      </c>
      <c r="D20" s="528">
        <f>D18/D19</f>
        <v>41.9</v>
      </c>
      <c r="E20" s="528">
        <f>E18/E19</f>
        <v>43.666666666666664</v>
      </c>
      <c r="F20" s="528">
        <f>F18/F19</f>
        <v>38</v>
      </c>
      <c r="G20" s="528">
        <f>G18/G19</f>
        <v>36.875</v>
      </c>
      <c r="H20" s="845"/>
      <c r="I20" s="847"/>
      <c r="J20" s="845"/>
      <c r="K20" s="849"/>
      <c r="L20" s="847"/>
      <c r="M20" s="511"/>
    </row>
    <row r="21" spans="1:13" x14ac:dyDescent="0.25">
      <c r="B21" s="489" t="s">
        <v>1216</v>
      </c>
      <c r="D21" s="489"/>
    </row>
    <row r="22" spans="1:13" ht="16.5" x14ac:dyDescent="0.25">
      <c r="I22" s="852" t="s">
        <v>1234</v>
      </c>
      <c r="J22" s="852"/>
      <c r="K22" s="852"/>
      <c r="L22" s="852"/>
      <c r="M22" s="852"/>
    </row>
    <row r="23" spans="1:13" x14ac:dyDescent="0.25">
      <c r="I23" s="835" t="s">
        <v>1233</v>
      </c>
      <c r="J23" s="835"/>
      <c r="K23" s="835"/>
      <c r="L23" s="835"/>
      <c r="M23" s="835"/>
    </row>
    <row r="27" spans="1:13" ht="18.600000000000001" customHeight="1" x14ac:dyDescent="0.25">
      <c r="I27" s="512"/>
      <c r="J27" s="512"/>
      <c r="K27" s="512"/>
      <c r="L27" s="512"/>
    </row>
    <row r="28" spans="1:13" x14ac:dyDescent="0.25">
      <c r="I28" s="489"/>
      <c r="J28" s="489"/>
      <c r="K28" s="835" t="s">
        <v>43</v>
      </c>
      <c r="L28" s="835"/>
    </row>
    <row r="29" spans="1:13" x14ac:dyDescent="0.25">
      <c r="D29" s="480" t="s">
        <v>1231</v>
      </c>
    </row>
  </sheetData>
  <mergeCells count="34">
    <mergeCell ref="K28:L28"/>
    <mergeCell ref="I22:M22"/>
    <mergeCell ref="I23:M23"/>
    <mergeCell ref="L4:M4"/>
    <mergeCell ref="L5:L8"/>
    <mergeCell ref="M5:M8"/>
    <mergeCell ref="K9:K13"/>
    <mergeCell ref="L9:L13"/>
    <mergeCell ref="M15:M18"/>
    <mergeCell ref="L15:L18"/>
    <mergeCell ref="C14:G14"/>
    <mergeCell ref="H15:H18"/>
    <mergeCell ref="I15:I18"/>
    <mergeCell ref="J15:J18"/>
    <mergeCell ref="K15:K18"/>
    <mergeCell ref="H19:H20"/>
    <mergeCell ref="I19:I20"/>
    <mergeCell ref="J19:J20"/>
    <mergeCell ref="K19:K20"/>
    <mergeCell ref="L19:L20"/>
    <mergeCell ref="H9:H13"/>
    <mergeCell ref="I9:I13"/>
    <mergeCell ref="J9:J13"/>
    <mergeCell ref="A1:C1"/>
    <mergeCell ref="A2:C2"/>
    <mergeCell ref="D2:K2"/>
    <mergeCell ref="D3:F3"/>
    <mergeCell ref="B4:B5"/>
    <mergeCell ref="C4:K4"/>
    <mergeCell ref="H5:H8"/>
    <mergeCell ref="I5:I8"/>
    <mergeCell ref="A4:A5"/>
    <mergeCell ref="J5:J8"/>
    <mergeCell ref="K5:K8"/>
  </mergeCells>
  <pageMargins left="1.299212598425197" right="0.51181102362204722" top="0.74803149606299213" bottom="0.74803149606299213" header="0.31496062992125984" footer="0.31496062992125984"/>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NSTonghop</vt:lpstr>
      <vt:lpstr>TKeTH</vt:lpstr>
      <vt:lpstr>TLuongTH</vt:lpstr>
      <vt:lpstr>TNNG</vt:lpstr>
      <vt:lpstr>Nghihuu</vt:lpstr>
      <vt:lpstr>NShientai</vt:lpstr>
      <vt:lpstr>Dangchung</vt:lpstr>
      <vt:lpstr>Danghientai</vt:lpstr>
      <vt:lpstr>KHPTrien</vt:lpstr>
      <vt:lpstr>DulieuXDKH</vt:lpstr>
      <vt:lpstr>Nhucauvieclam</vt:lpstr>
      <vt:lpstr>KHGV(TKhao)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nthcpag</dc:creator>
  <cp:lastModifiedBy>Nguyen Thanh Hung</cp:lastModifiedBy>
  <cp:lastPrinted>2020-03-19T16:38:25Z</cp:lastPrinted>
  <dcterms:created xsi:type="dcterms:W3CDTF">2012-08-24T07:27:30Z</dcterms:created>
  <dcterms:modified xsi:type="dcterms:W3CDTF">2020-06-08T02:19:59Z</dcterms:modified>
</cp:coreProperties>
</file>